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Livres\Formules Excel  comprendre au lieu de recopier\"/>
    </mc:Choice>
  </mc:AlternateContent>
  <xr:revisionPtr revIDLastSave="0" documentId="13_ncr:1_{53B078E8-0D21-4B08-901D-817C5D22EA6D}" xr6:coauthVersionLast="47" xr6:coauthVersionMax="47" xr10:uidLastSave="{00000000-0000-0000-0000-000000000000}"/>
  <bookViews>
    <workbookView xWindow="-120" yWindow="-120" windowWidth="29040" windowHeight="15720" firstSheet="1" activeTab="1" xr2:uid="{00000000-000D-0000-FFFF-FFFF00000000}"/>
  </bookViews>
  <sheets>
    <sheet name="MODE D'EMPLOI" sheetId="1" r:id="rId1"/>
    <sheet name="SOMMAIRE" sheetId="2" r:id="rId2"/>
    <sheet name="Ch.1 - Lire une formule" sheetId="7" r:id="rId3"/>
    <sheet name="Ch.2 - Choisir la fonction" sheetId="8" r:id="rId4"/>
    <sheet name="Ch.3 - Calculer et compter" sheetId="9" r:id="rId5"/>
    <sheet name="Ch.4 - Tester conditions" sheetId="10" r:id="rId6"/>
    <sheet name="Ch.5 - Manipuler le texte" sheetId="11" r:id="rId7"/>
    <sheet name="Ch.6 - Rechercher une info" sheetId="12" r:id="rId8"/>
    <sheet name="Ch.7 - Résultats dynamiques" sheetId="13" r:id="rId9"/>
    <sheet name="Ch.8 - Plusieurs fonctions" sheetId="14" r:id="rId10"/>
    <sheet name="Ch.9 - Dépanner formule" sheetId="15" r:id="rId11"/>
    <sheet name="Ch.10 - Devenir autonome" sheetId="16" r:id="rId12"/>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5" i="16" l="1"/>
  <c r="T241" i="2" s="1"/>
  <c r="I160" i="16"/>
  <c r="T240" i="2" s="1"/>
  <c r="I144" i="16"/>
  <c r="T239" i="2" s="1"/>
  <c r="I124" i="16"/>
  <c r="T238" i="2" s="1"/>
  <c r="I107" i="16"/>
  <c r="T237" i="2" s="1"/>
  <c r="I90" i="16"/>
  <c r="T236" i="2" s="1"/>
  <c r="I75" i="16"/>
  <c r="T235" i="2" s="1"/>
  <c r="I61" i="16"/>
  <c r="T234" i="2" s="1"/>
  <c r="I45" i="16"/>
  <c r="T233" i="2" s="1"/>
  <c r="I32" i="16"/>
  <c r="T232" i="2" s="1"/>
  <c r="G452" i="15"/>
  <c r="G451" i="15"/>
  <c r="G450" i="15"/>
  <c r="I454" i="15" s="1"/>
  <c r="T231" i="2" s="1"/>
  <c r="C439" i="15"/>
  <c r="I443" i="15" s="1"/>
  <c r="T230" i="2" s="1"/>
  <c r="C430" i="15"/>
  <c r="I432" i="15" s="1"/>
  <c r="T229" i="2" s="1"/>
  <c r="I416" i="15"/>
  <c r="T228" i="2" s="1"/>
  <c r="D412" i="15"/>
  <c r="D411" i="15"/>
  <c r="D410" i="15"/>
  <c r="D409" i="15"/>
  <c r="I401" i="15"/>
  <c r="T227" i="2" s="1"/>
  <c r="C396" i="15"/>
  <c r="I387" i="15"/>
  <c r="T226" i="2" s="1"/>
  <c r="C382" i="15"/>
  <c r="C365" i="15"/>
  <c r="I367" i="15" s="1"/>
  <c r="T225" i="2" s="1"/>
  <c r="C354" i="15"/>
  <c r="I356" i="15" s="1"/>
  <c r="T224" i="2" s="1"/>
  <c r="C339" i="15"/>
  <c r="C338" i="15"/>
  <c r="C337" i="15"/>
  <c r="C336" i="15"/>
  <c r="C335" i="15"/>
  <c r="I341" i="15" s="1"/>
  <c r="T223" i="2" s="1"/>
  <c r="C324" i="15"/>
  <c r="I326" i="15" s="1"/>
  <c r="T222" i="2" s="1"/>
  <c r="I312" i="15"/>
  <c r="T221" i="2" s="1"/>
  <c r="C310" i="15"/>
  <c r="I299" i="15"/>
  <c r="T220" i="2" s="1"/>
  <c r="C297" i="15"/>
  <c r="C280" i="15"/>
  <c r="I282" i="15" s="1"/>
  <c r="T219" i="2" s="1"/>
  <c r="C267" i="15"/>
  <c r="I269" i="15" s="1"/>
  <c r="T218" i="2" s="1"/>
  <c r="I258" i="15"/>
  <c r="T217" i="2" s="1"/>
  <c r="I242" i="15"/>
  <c r="T216" i="2" s="1"/>
  <c r="I230" i="15"/>
  <c r="T215" i="2" s="1"/>
  <c r="C214" i="15"/>
  <c r="I216" i="15" s="1"/>
  <c r="T214" i="2" s="1"/>
  <c r="I203" i="15"/>
  <c r="T213" i="2" s="1"/>
  <c r="C186" i="15"/>
  <c r="I188" i="15" s="1"/>
  <c r="T212" i="2" s="1"/>
  <c r="C175" i="15"/>
  <c r="I177" i="15" s="1"/>
  <c r="T211" i="2" s="1"/>
  <c r="C162" i="15"/>
  <c r="I164" i="15" s="1"/>
  <c r="T210" i="2" s="1"/>
  <c r="I151" i="15"/>
  <c r="T209" i="2" s="1"/>
  <c r="C149" i="15"/>
  <c r="I135" i="15"/>
  <c r="T208" i="2" s="1"/>
  <c r="I121" i="15"/>
  <c r="T207" i="2" s="1"/>
  <c r="I103" i="15"/>
  <c r="T206" i="2" s="1"/>
  <c r="I90" i="15"/>
  <c r="T205" i="2" s="1"/>
  <c r="I77" i="15"/>
  <c r="T204" i="2" s="1"/>
  <c r="I58" i="15"/>
  <c r="T203" i="2" s="1"/>
  <c r="I47" i="15"/>
  <c r="T202" i="2" s="1"/>
  <c r="C44" i="15"/>
  <c r="I570" i="14"/>
  <c r="T201" i="2" s="1"/>
  <c r="I554" i="14"/>
  <c r="T200" i="2" s="1"/>
  <c r="I533" i="14"/>
  <c r="T199" i="2" s="1"/>
  <c r="I514" i="14"/>
  <c r="T198" i="2" s="1"/>
  <c r="I497" i="14"/>
  <c r="T197" i="2" s="1"/>
  <c r="I480" i="14"/>
  <c r="T196" i="2" s="1"/>
  <c r="I463" i="14"/>
  <c r="T195" i="2" s="1"/>
  <c r="I449" i="14"/>
  <c r="T194" i="2" s="1"/>
  <c r="I427" i="14"/>
  <c r="T193" i="2" s="1"/>
  <c r="I409" i="14"/>
  <c r="T192" i="2" s="1"/>
  <c r="I390" i="14"/>
  <c r="T191" i="2" s="1"/>
  <c r="I374" i="14"/>
  <c r="T190" i="2" s="1"/>
  <c r="I358" i="14"/>
  <c r="T189" i="2" s="1"/>
  <c r="I340" i="14"/>
  <c r="T188" i="2" s="1"/>
  <c r="I328" i="14"/>
  <c r="T187" i="2" s="1"/>
  <c r="I316" i="14"/>
  <c r="T186" i="2" s="1"/>
  <c r="I295" i="14"/>
  <c r="T185" i="2" s="1"/>
  <c r="I272" i="14"/>
  <c r="T184" i="2" s="1"/>
  <c r="I253" i="14"/>
  <c r="T183" i="2" s="1"/>
  <c r="I230" i="14"/>
  <c r="T182" i="2" s="1"/>
  <c r="I209" i="14"/>
  <c r="T181" i="2" s="1"/>
  <c r="I190" i="14"/>
  <c r="T180" i="2" s="1"/>
  <c r="I169" i="14"/>
  <c r="T179" i="2" s="1"/>
  <c r="I147" i="14"/>
  <c r="T178" i="2" s="1"/>
  <c r="I127" i="14"/>
  <c r="T177" i="2" s="1"/>
  <c r="I106" i="14"/>
  <c r="T176" i="2" s="1"/>
  <c r="I83" i="14"/>
  <c r="T175" i="2" s="1"/>
  <c r="I71" i="14"/>
  <c r="T174" i="2" s="1"/>
  <c r="I54" i="14"/>
  <c r="T173" i="2" s="1"/>
  <c r="I42" i="14"/>
  <c r="T172" i="2" s="1"/>
  <c r="I714" i="13"/>
  <c r="T171" i="2" s="1"/>
  <c r="I690" i="13"/>
  <c r="T170" i="2" s="1"/>
  <c r="I667" i="13"/>
  <c r="T169" i="2" s="1"/>
  <c r="I639" i="13"/>
  <c r="T168" i="2" s="1"/>
  <c r="I617" i="13"/>
  <c r="T167" i="2" s="1"/>
  <c r="I592" i="13"/>
  <c r="T166" i="2" s="1"/>
  <c r="I569" i="13"/>
  <c r="T165" i="2" s="1"/>
  <c r="I544" i="13"/>
  <c r="T164" i="2" s="1"/>
  <c r="F527" i="13" a="1"/>
  <c r="I520" i="13"/>
  <c r="T163" i="2" s="1"/>
  <c r="F508" i="13" a="1"/>
  <c r="I501" i="13"/>
  <c r="T162" i="2" s="1"/>
  <c r="F489" i="13" a="1"/>
  <c r="I480" i="13"/>
  <c r="T161" i="2" s="1"/>
  <c r="I454" i="13"/>
  <c r="T160" i="2" s="1"/>
  <c r="I426" i="13"/>
  <c r="T159" i="2" s="1"/>
  <c r="I394" i="13"/>
  <c r="T158" i="2" s="1"/>
  <c r="I376" i="13"/>
  <c r="T157" i="2" s="1"/>
  <c r="I348" i="13"/>
  <c r="T156" i="2" s="1"/>
  <c r="I320" i="13"/>
  <c r="T155" i="2" s="1"/>
  <c r="I290" i="13"/>
  <c r="T154" i="2" s="1"/>
  <c r="I272" i="13"/>
  <c r="T153" i="2" s="1"/>
  <c r="I250" i="13"/>
  <c r="T152" i="2" s="1"/>
  <c r="I224" i="13"/>
  <c r="T151" i="2" s="1"/>
  <c r="I198" i="13"/>
  <c r="T150" i="2" s="1"/>
  <c r="I176" i="13"/>
  <c r="T149" i="2" s="1"/>
  <c r="I150" i="13"/>
  <c r="T148" i="2" s="1"/>
  <c r="I127" i="13"/>
  <c r="T147" i="2" s="1"/>
  <c r="I106" i="13"/>
  <c r="T146" i="2" s="1"/>
  <c r="I81" i="13"/>
  <c r="T145" i="2" s="1"/>
  <c r="I54" i="13"/>
  <c r="T144" i="2" s="1"/>
  <c r="I44" i="13"/>
  <c r="T143" i="2" s="1"/>
  <c r="I32" i="13"/>
  <c r="T142" i="2" s="1"/>
  <c r="I613" i="12"/>
  <c r="T141" i="2" s="1"/>
  <c r="I581" i="12"/>
  <c r="T140" i="2" s="1"/>
  <c r="I557" i="12"/>
  <c r="T139" i="2" s="1"/>
  <c r="I537" i="12"/>
  <c r="T138" i="2" s="1"/>
  <c r="I515" i="12"/>
  <c r="T137" i="2" s="1"/>
  <c r="I498" i="12"/>
  <c r="T136" i="2" s="1"/>
  <c r="I480" i="12"/>
  <c r="T135" i="2" s="1"/>
  <c r="I460" i="12"/>
  <c r="T134" i="2" s="1"/>
  <c r="I440" i="12"/>
  <c r="T133" i="2" s="1"/>
  <c r="I421" i="12"/>
  <c r="T132" i="2" s="1"/>
  <c r="I402" i="12"/>
  <c r="T131" i="2" s="1"/>
  <c r="I384" i="12"/>
  <c r="T130" i="2" s="1"/>
  <c r="I366" i="12"/>
  <c r="T129" i="2" s="1"/>
  <c r="I348" i="12"/>
  <c r="T128" i="2" s="1"/>
  <c r="I329" i="12"/>
  <c r="T127" i="2" s="1"/>
  <c r="I310" i="12"/>
  <c r="I291" i="12"/>
  <c r="I270" i="12"/>
  <c r="I253" i="12"/>
  <c r="I232" i="12"/>
  <c r="I213" i="12"/>
  <c r="I192" i="12"/>
  <c r="I176" i="12"/>
  <c r="I158" i="12"/>
  <c r="I139" i="12"/>
  <c r="I119" i="12"/>
  <c r="I98" i="12"/>
  <c r="I80" i="12"/>
  <c r="I65" i="12"/>
  <c r="I45" i="12"/>
  <c r="I303" i="11"/>
  <c r="T111" i="2" s="1"/>
  <c r="B301" i="11"/>
  <c r="I291" i="11"/>
  <c r="T110" i="2" s="1"/>
  <c r="I281" i="11"/>
  <c r="T109" i="2" s="1"/>
  <c r="I269" i="11"/>
  <c r="T108" i="2" s="1"/>
  <c r="I257" i="11"/>
  <c r="T107" i="2" s="1"/>
  <c r="I245" i="11"/>
  <c r="T106" i="2" s="1"/>
  <c r="I235" i="11"/>
  <c r="T105" i="2" s="1"/>
  <c r="I223" i="11"/>
  <c r="T104" i="2" s="1"/>
  <c r="I213" i="11"/>
  <c r="T103" i="2" s="1"/>
  <c r="I201" i="11"/>
  <c r="T102" i="2" s="1"/>
  <c r="B199" i="11"/>
  <c r="I191" i="11"/>
  <c r="T101" i="2" s="1"/>
  <c r="I179" i="11"/>
  <c r="T100" i="2" s="1"/>
  <c r="I169" i="11"/>
  <c r="T99" i="2" s="1"/>
  <c r="I157" i="11"/>
  <c r="T98" i="2" s="1"/>
  <c r="B155" i="11"/>
  <c r="I145" i="11"/>
  <c r="T97" i="2" s="1"/>
  <c r="I133" i="11"/>
  <c r="T96" i="2" s="1"/>
  <c r="I123" i="11"/>
  <c r="T95" i="2" s="1"/>
  <c r="I111" i="11"/>
  <c r="T94" i="2" s="1"/>
  <c r="B109" i="11"/>
  <c r="I101" i="11"/>
  <c r="T93" i="2" s="1"/>
  <c r="I89" i="11"/>
  <c r="T92" i="2" s="1"/>
  <c r="I79" i="11"/>
  <c r="T91" i="2" s="1"/>
  <c r="I67" i="11"/>
  <c r="T90" i="2" s="1"/>
  <c r="I57" i="11"/>
  <c r="T89" i="2" s="1"/>
  <c r="I45" i="11"/>
  <c r="T88" i="2" s="1"/>
  <c r="I35" i="11"/>
  <c r="T87" i="2" s="1"/>
  <c r="I314" i="10"/>
  <c r="T86" i="2" s="1"/>
  <c r="I299" i="10"/>
  <c r="T85" i="2" s="1"/>
  <c r="I287" i="10"/>
  <c r="T84" i="2" s="1"/>
  <c r="I273" i="10"/>
  <c r="T83" i="2" s="1"/>
  <c r="I261" i="10"/>
  <c r="T82" i="2" s="1"/>
  <c r="I247" i="10"/>
  <c r="T81" i="2" s="1"/>
  <c r="I235" i="10"/>
  <c r="T80" i="2" s="1"/>
  <c r="I220" i="10"/>
  <c r="T79" i="2" s="1"/>
  <c r="I208" i="10"/>
  <c r="T78" i="2" s="1"/>
  <c r="I194" i="10"/>
  <c r="T77" i="2" s="1"/>
  <c r="I182" i="10"/>
  <c r="T76" i="2" s="1"/>
  <c r="I168" i="10"/>
  <c r="T75" i="2" s="1"/>
  <c r="I156" i="10"/>
  <c r="T74" i="2" s="1"/>
  <c r="I142" i="10"/>
  <c r="T73" i="2" s="1"/>
  <c r="I130" i="10"/>
  <c r="T72" i="2" s="1"/>
  <c r="I116" i="10"/>
  <c r="T71" i="2" s="1"/>
  <c r="I104" i="10"/>
  <c r="T70" i="2" s="1"/>
  <c r="I90" i="10"/>
  <c r="T69" i="2" s="1"/>
  <c r="I79" i="10"/>
  <c r="T68" i="2" s="1"/>
  <c r="I67" i="10"/>
  <c r="T67" i="2" s="1"/>
  <c r="I53" i="10"/>
  <c r="T66" i="2" s="1"/>
  <c r="I42" i="10"/>
  <c r="T65" i="2" s="1"/>
  <c r="I30" i="10"/>
  <c r="T64" i="2" s="1"/>
  <c r="I481" i="9"/>
  <c r="T63" i="2" s="1"/>
  <c r="I466" i="9"/>
  <c r="T62" i="2" s="1"/>
  <c r="I449" i="9"/>
  <c r="T61" i="2" s="1"/>
  <c r="I434" i="9"/>
  <c r="T60" i="2" s="1"/>
  <c r="I420" i="9"/>
  <c r="T59" i="2" s="1"/>
  <c r="I405" i="9"/>
  <c r="T58" i="2" s="1"/>
  <c r="B403" i="9"/>
  <c r="I390" i="9"/>
  <c r="T57" i="2" s="1"/>
  <c r="H368" i="9"/>
  <c r="F368" i="9"/>
  <c r="I359" i="9"/>
  <c r="I345" i="9"/>
  <c r="I329" i="9"/>
  <c r="I312" i="9"/>
  <c r="I295" i="9"/>
  <c r="I278" i="9"/>
  <c r="I262" i="9"/>
  <c r="I246" i="9"/>
  <c r="I229" i="9"/>
  <c r="I215" i="9"/>
  <c r="T47" i="2" s="1"/>
  <c r="I198" i="9"/>
  <c r="B195" i="9"/>
  <c r="I182" i="9"/>
  <c r="B178" i="9"/>
  <c r="I165" i="9"/>
  <c r="I149" i="9"/>
  <c r="I133" i="9"/>
  <c r="I117" i="9"/>
  <c r="I100" i="9"/>
  <c r="I86" i="9"/>
  <c r="I72" i="9"/>
  <c r="I56" i="9"/>
  <c r="I43" i="9"/>
  <c r="I31" i="9"/>
  <c r="I152" i="8"/>
  <c r="I139" i="8"/>
  <c r="I127" i="8"/>
  <c r="I117" i="8"/>
  <c r="I105" i="8"/>
  <c r="I93" i="8"/>
  <c r="I81" i="8"/>
  <c r="I71" i="8"/>
  <c r="I59" i="8"/>
  <c r="I49" i="8"/>
  <c r="I37" i="8"/>
  <c r="I27" i="8"/>
  <c r="I174" i="7"/>
  <c r="I159" i="7"/>
  <c r="E155" i="7"/>
  <c r="I147" i="7"/>
  <c r="F142" i="7"/>
  <c r="I134" i="7"/>
  <c r="I122" i="7"/>
  <c r="I112" i="7"/>
  <c r="I100" i="7"/>
  <c r="I87" i="7"/>
  <c r="I75" i="7"/>
  <c r="F59" i="7"/>
  <c r="I61" i="7" s="1"/>
  <c r="T13" i="2" s="1"/>
  <c r="I49" i="7"/>
  <c r="I37" i="7"/>
  <c r="I27" i="7"/>
  <c r="S609" i="2"/>
  <c r="S608" i="2"/>
  <c r="S607" i="2"/>
  <c r="S606" i="2"/>
  <c r="S605" i="2"/>
  <c r="S604" i="2"/>
  <c r="S603" i="2"/>
  <c r="S602" i="2"/>
  <c r="S601" i="2"/>
  <c r="S600" i="2"/>
  <c r="S599" i="2"/>
  <c r="S598" i="2"/>
  <c r="S597" i="2"/>
  <c r="S596" i="2"/>
  <c r="S595" i="2"/>
  <c r="S594" i="2"/>
  <c r="S593" i="2"/>
  <c r="S592" i="2"/>
  <c r="S591" i="2"/>
  <c r="S590" i="2"/>
  <c r="S589" i="2"/>
  <c r="S588" i="2"/>
  <c r="S587" i="2"/>
  <c r="S586" i="2"/>
  <c r="S585" i="2"/>
  <c r="S584" i="2"/>
  <c r="S583" i="2"/>
  <c r="S582" i="2"/>
  <c r="S581" i="2"/>
  <c r="S580" i="2"/>
  <c r="S579" i="2"/>
  <c r="S578" i="2"/>
  <c r="S577" i="2"/>
  <c r="S576" i="2"/>
  <c r="S575" i="2"/>
  <c r="S574" i="2"/>
  <c r="S573" i="2"/>
  <c r="S572" i="2"/>
  <c r="S571" i="2"/>
  <c r="S570" i="2"/>
  <c r="S569" i="2"/>
  <c r="S568" i="2"/>
  <c r="S567" i="2"/>
  <c r="S566" i="2"/>
  <c r="S565" i="2"/>
  <c r="S564" i="2"/>
  <c r="S563" i="2"/>
  <c r="S562" i="2"/>
  <c r="S561" i="2"/>
  <c r="S560" i="2"/>
  <c r="S559" i="2"/>
  <c r="S558" i="2"/>
  <c r="S557" i="2"/>
  <c r="S556" i="2"/>
  <c r="S555" i="2"/>
  <c r="S554" i="2"/>
  <c r="S553" i="2"/>
  <c r="S552" i="2"/>
  <c r="S551" i="2"/>
  <c r="S550" i="2"/>
  <c r="S549" i="2"/>
  <c r="S548" i="2"/>
  <c r="S547" i="2"/>
  <c r="S546" i="2"/>
  <c r="S545" i="2"/>
  <c r="S544" i="2"/>
  <c r="S543" i="2"/>
  <c r="S542" i="2"/>
  <c r="S541" i="2"/>
  <c r="S540" i="2"/>
  <c r="S539" i="2"/>
  <c r="S538" i="2"/>
  <c r="S537" i="2"/>
  <c r="S536" i="2"/>
  <c r="S535" i="2"/>
  <c r="S534" i="2"/>
  <c r="S533" i="2"/>
  <c r="S532" i="2"/>
  <c r="S531" i="2"/>
  <c r="S530" i="2"/>
  <c r="S529" i="2"/>
  <c r="S528" i="2"/>
  <c r="S527" i="2"/>
  <c r="S526" i="2"/>
  <c r="S525" i="2"/>
  <c r="S524" i="2"/>
  <c r="S523" i="2"/>
  <c r="S522" i="2"/>
  <c r="S521" i="2"/>
  <c r="S520" i="2"/>
  <c r="S519" i="2"/>
  <c r="S518" i="2"/>
  <c r="S517" i="2"/>
  <c r="S516" i="2"/>
  <c r="S515" i="2"/>
  <c r="S514" i="2"/>
  <c r="S513" i="2"/>
  <c r="S512" i="2"/>
  <c r="S511" i="2"/>
  <c r="S510" i="2"/>
  <c r="S509" i="2"/>
  <c r="S508" i="2"/>
  <c r="S507" i="2"/>
  <c r="S506" i="2"/>
  <c r="S505" i="2"/>
  <c r="S504" i="2"/>
  <c r="S503" i="2"/>
  <c r="S502" i="2"/>
  <c r="S501" i="2"/>
  <c r="S500" i="2"/>
  <c r="S499" i="2"/>
  <c r="S498" i="2"/>
  <c r="S497" i="2"/>
  <c r="S496" i="2"/>
  <c r="S495" i="2"/>
  <c r="S494" i="2"/>
  <c r="S493" i="2"/>
  <c r="S492" i="2"/>
  <c r="S491" i="2"/>
  <c r="S490" i="2"/>
  <c r="S489" i="2"/>
  <c r="S488" i="2"/>
  <c r="S487" i="2"/>
  <c r="S486" i="2"/>
  <c r="S485" i="2"/>
  <c r="S484" i="2"/>
  <c r="S483" i="2"/>
  <c r="S482" i="2"/>
  <c r="S481" i="2"/>
  <c r="S480" i="2"/>
  <c r="S479" i="2"/>
  <c r="S478" i="2"/>
  <c r="S477" i="2"/>
  <c r="S476" i="2"/>
  <c r="S475" i="2"/>
  <c r="S474" i="2"/>
  <c r="S473" i="2"/>
  <c r="S472" i="2"/>
  <c r="S471" i="2"/>
  <c r="S470" i="2"/>
  <c r="S469" i="2"/>
  <c r="S468" i="2"/>
  <c r="S467" i="2"/>
  <c r="S466" i="2"/>
  <c r="S465" i="2"/>
  <c r="S464" i="2"/>
  <c r="S463" i="2"/>
  <c r="S462" i="2"/>
  <c r="S461" i="2"/>
  <c r="S460" i="2"/>
  <c r="S459" i="2"/>
  <c r="S458" i="2"/>
  <c r="S457" i="2"/>
  <c r="S456" i="2"/>
  <c r="S455" i="2"/>
  <c r="S454" i="2"/>
  <c r="S453" i="2"/>
  <c r="S452" i="2"/>
  <c r="S451" i="2"/>
  <c r="S450" i="2"/>
  <c r="S449" i="2"/>
  <c r="S448" i="2"/>
  <c r="S447" i="2"/>
  <c r="S446" i="2"/>
  <c r="S445" i="2"/>
  <c r="S444" i="2"/>
  <c r="S443" i="2"/>
  <c r="S442" i="2"/>
  <c r="S441" i="2"/>
  <c r="S440" i="2"/>
  <c r="S439" i="2"/>
  <c r="S438" i="2"/>
  <c r="S437" i="2"/>
  <c r="S436" i="2"/>
  <c r="S435" i="2"/>
  <c r="S434" i="2"/>
  <c r="S433" i="2"/>
  <c r="S432" i="2"/>
  <c r="S431" i="2"/>
  <c r="S430" i="2"/>
  <c r="S429" i="2"/>
  <c r="S428" i="2"/>
  <c r="S427" i="2"/>
  <c r="S426" i="2"/>
  <c r="S425" i="2"/>
  <c r="S424" i="2"/>
  <c r="S423" i="2"/>
  <c r="S422" i="2"/>
  <c r="S421" i="2"/>
  <c r="S420" i="2"/>
  <c r="S419" i="2"/>
  <c r="S418" i="2"/>
  <c r="S417" i="2"/>
  <c r="S416" i="2"/>
  <c r="S415" i="2"/>
  <c r="S414" i="2"/>
  <c r="S413" i="2"/>
  <c r="S412" i="2"/>
  <c r="S411" i="2"/>
  <c r="S410" i="2"/>
  <c r="S409" i="2"/>
  <c r="S408" i="2"/>
  <c r="S407" i="2"/>
  <c r="S406" i="2"/>
  <c r="S405" i="2"/>
  <c r="S404" i="2"/>
  <c r="S403" i="2"/>
  <c r="S402" i="2"/>
  <c r="S401" i="2"/>
  <c r="S400" i="2"/>
  <c r="S399" i="2"/>
  <c r="S398" i="2"/>
  <c r="S397" i="2"/>
  <c r="S396" i="2"/>
  <c r="S395" i="2"/>
  <c r="S394" i="2"/>
  <c r="S393" i="2"/>
  <c r="S392" i="2"/>
  <c r="S391" i="2"/>
  <c r="S390" i="2"/>
  <c r="S389" i="2"/>
  <c r="S388" i="2"/>
  <c r="S387" i="2"/>
  <c r="S386" i="2"/>
  <c r="S385" i="2"/>
  <c r="S384" i="2"/>
  <c r="S383" i="2"/>
  <c r="S382" i="2"/>
  <c r="S381" i="2"/>
  <c r="S380" i="2"/>
  <c r="S379" i="2"/>
  <c r="S378" i="2"/>
  <c r="S377" i="2"/>
  <c r="S376" i="2"/>
  <c r="S375" i="2"/>
  <c r="S374" i="2"/>
  <c r="S373" i="2"/>
  <c r="S372" i="2"/>
  <c r="S371" i="2"/>
  <c r="S370" i="2"/>
  <c r="S369" i="2"/>
  <c r="S368" i="2"/>
  <c r="S367" i="2"/>
  <c r="S366" i="2"/>
  <c r="S365" i="2"/>
  <c r="S364" i="2"/>
  <c r="S363" i="2"/>
  <c r="S362" i="2"/>
  <c r="S361" i="2"/>
  <c r="S360" i="2"/>
  <c r="S359" i="2"/>
  <c r="S358" i="2"/>
  <c r="S357" i="2"/>
  <c r="S356" i="2"/>
  <c r="S355" i="2"/>
  <c r="S354" i="2"/>
  <c r="S353" i="2"/>
  <c r="S352" i="2"/>
  <c r="S351" i="2"/>
  <c r="S350" i="2"/>
  <c r="S349" i="2"/>
  <c r="S348" i="2"/>
  <c r="S347" i="2"/>
  <c r="S346" i="2"/>
  <c r="S345" i="2"/>
  <c r="S344" i="2"/>
  <c r="S343" i="2"/>
  <c r="S342" i="2"/>
  <c r="S341" i="2"/>
  <c r="S340" i="2"/>
  <c r="S339" i="2"/>
  <c r="S338" i="2"/>
  <c r="S337" i="2"/>
  <c r="S336" i="2"/>
  <c r="S335" i="2"/>
  <c r="S334" i="2"/>
  <c r="S333" i="2"/>
  <c r="S332" i="2"/>
  <c r="S331" i="2"/>
  <c r="S330" i="2"/>
  <c r="S329" i="2"/>
  <c r="S328" i="2"/>
  <c r="S327" i="2"/>
  <c r="S326" i="2"/>
  <c r="S325" i="2"/>
  <c r="S324" i="2"/>
  <c r="S323" i="2"/>
  <c r="S322" i="2"/>
  <c r="S321" i="2"/>
  <c r="S320" i="2"/>
  <c r="S319" i="2"/>
  <c r="S318" i="2"/>
  <c r="S317" i="2"/>
  <c r="S316" i="2"/>
  <c r="S315" i="2"/>
  <c r="S314" i="2"/>
  <c r="S313" i="2"/>
  <c r="S312" i="2"/>
  <c r="S311" i="2"/>
  <c r="S310" i="2"/>
  <c r="S309" i="2"/>
  <c r="S308" i="2"/>
  <c r="S307" i="2"/>
  <c r="S306" i="2"/>
  <c r="S305" i="2"/>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H145" i="2"/>
  <c r="G145" i="2"/>
  <c r="F145" i="2"/>
  <c r="E145" i="2"/>
  <c r="D145" i="2"/>
  <c r="H144" i="2"/>
  <c r="G144" i="2"/>
  <c r="F144" i="2"/>
  <c r="E144" i="2"/>
  <c r="D144" i="2"/>
  <c r="H143" i="2"/>
  <c r="G143" i="2"/>
  <c r="F143" i="2"/>
  <c r="E143" i="2"/>
  <c r="D143" i="2"/>
  <c r="H142" i="2"/>
  <c r="G142" i="2"/>
  <c r="F142" i="2"/>
  <c r="E142" i="2"/>
  <c r="D142" i="2"/>
  <c r="H141" i="2"/>
  <c r="G141" i="2"/>
  <c r="F141" i="2"/>
  <c r="E141" i="2"/>
  <c r="D141" i="2"/>
  <c r="H140" i="2"/>
  <c r="G140" i="2"/>
  <c r="F140" i="2"/>
  <c r="E140" i="2"/>
  <c r="D140" i="2"/>
  <c r="H139" i="2"/>
  <c r="G139" i="2"/>
  <c r="F139" i="2"/>
  <c r="E139" i="2"/>
  <c r="D139" i="2"/>
  <c r="H138" i="2"/>
  <c r="G138" i="2"/>
  <c r="F138" i="2"/>
  <c r="E138" i="2"/>
  <c r="D138" i="2"/>
  <c r="H135" i="2"/>
  <c r="G135" i="2"/>
  <c r="F135" i="2"/>
  <c r="E135" i="2"/>
  <c r="D135" i="2"/>
  <c r="H134" i="2"/>
  <c r="G134" i="2"/>
  <c r="F134" i="2"/>
  <c r="E134" i="2"/>
  <c r="D134" i="2"/>
  <c r="H133" i="2"/>
  <c r="G133" i="2"/>
  <c r="F133" i="2"/>
  <c r="E133" i="2"/>
  <c r="D133" i="2"/>
  <c r="H132" i="2"/>
  <c r="G132" i="2"/>
  <c r="F132" i="2"/>
  <c r="E132" i="2"/>
  <c r="D132" i="2"/>
  <c r="H131" i="2"/>
  <c r="G131" i="2"/>
  <c r="F131" i="2"/>
  <c r="E131" i="2"/>
  <c r="D131" i="2"/>
  <c r="H130" i="2"/>
  <c r="G130" i="2"/>
  <c r="F130" i="2"/>
  <c r="E130" i="2"/>
  <c r="D130" i="2"/>
  <c r="H129" i="2"/>
  <c r="G129" i="2"/>
  <c r="F129" i="2"/>
  <c r="E129" i="2"/>
  <c r="D129" i="2"/>
  <c r="H128" i="2"/>
  <c r="G128" i="2"/>
  <c r="F128" i="2"/>
  <c r="E128" i="2"/>
  <c r="D128" i="2"/>
  <c r="H127" i="2"/>
  <c r="G127" i="2"/>
  <c r="F127" i="2"/>
  <c r="E127" i="2"/>
  <c r="D127" i="2"/>
  <c r="T126" i="2"/>
  <c r="H126" i="2"/>
  <c r="G126" i="2"/>
  <c r="F126" i="2"/>
  <c r="E126" i="2"/>
  <c r="D126" i="2"/>
  <c r="T125" i="2"/>
  <c r="H125" i="2"/>
  <c r="G125" i="2"/>
  <c r="F125" i="2"/>
  <c r="E125" i="2"/>
  <c r="D125" i="2"/>
  <c r="T124" i="2"/>
  <c r="H124" i="2"/>
  <c r="G124" i="2"/>
  <c r="F124" i="2"/>
  <c r="E124" i="2"/>
  <c r="D124" i="2"/>
  <c r="T123" i="2"/>
  <c r="H123" i="2"/>
  <c r="G123" i="2"/>
  <c r="F123" i="2"/>
  <c r="E123" i="2"/>
  <c r="D123" i="2"/>
  <c r="T122" i="2"/>
  <c r="H122" i="2"/>
  <c r="G122" i="2"/>
  <c r="F122" i="2"/>
  <c r="E122" i="2"/>
  <c r="D122" i="2"/>
  <c r="T121" i="2"/>
  <c r="H121" i="2"/>
  <c r="G121" i="2"/>
  <c r="F121" i="2"/>
  <c r="E121" i="2"/>
  <c r="D121" i="2"/>
  <c r="T120" i="2"/>
  <c r="H120" i="2"/>
  <c r="G120" i="2"/>
  <c r="F120" i="2"/>
  <c r="E120" i="2"/>
  <c r="D120" i="2"/>
  <c r="T119" i="2"/>
  <c r="H119" i="2"/>
  <c r="G119" i="2"/>
  <c r="F119" i="2"/>
  <c r="E119" i="2"/>
  <c r="D119" i="2"/>
  <c r="T118" i="2"/>
  <c r="H118" i="2"/>
  <c r="G118" i="2"/>
  <c r="F118" i="2"/>
  <c r="E118" i="2"/>
  <c r="D118" i="2"/>
  <c r="T117" i="2"/>
  <c r="T116" i="2"/>
  <c r="T115" i="2"/>
  <c r="H115" i="2"/>
  <c r="G115" i="2"/>
  <c r="F115" i="2"/>
  <c r="E115" i="2"/>
  <c r="D115" i="2"/>
  <c r="T114" i="2"/>
  <c r="H114" i="2"/>
  <c r="G114" i="2"/>
  <c r="F114" i="2"/>
  <c r="E114" i="2"/>
  <c r="D114" i="2"/>
  <c r="T113" i="2"/>
  <c r="H113" i="2"/>
  <c r="G113" i="2"/>
  <c r="F113" i="2"/>
  <c r="E113" i="2"/>
  <c r="D113" i="2"/>
  <c r="T112" i="2"/>
  <c r="H112" i="2"/>
  <c r="G112" i="2"/>
  <c r="F112" i="2"/>
  <c r="E112" i="2"/>
  <c r="D112" i="2"/>
  <c r="H111" i="2"/>
  <c r="G111" i="2"/>
  <c r="F111" i="2"/>
  <c r="E111" i="2"/>
  <c r="D111" i="2"/>
  <c r="H110" i="2"/>
  <c r="G110" i="2"/>
  <c r="F110" i="2"/>
  <c r="E110" i="2"/>
  <c r="D110" i="2"/>
  <c r="H109" i="2"/>
  <c r="G109" i="2"/>
  <c r="F109" i="2"/>
  <c r="E109" i="2"/>
  <c r="D109" i="2"/>
  <c r="H108" i="2"/>
  <c r="G108" i="2"/>
  <c r="F108" i="2"/>
  <c r="E108" i="2"/>
  <c r="D108" i="2"/>
  <c r="H107" i="2"/>
  <c r="G107" i="2"/>
  <c r="F107" i="2"/>
  <c r="E107" i="2"/>
  <c r="D107" i="2"/>
  <c r="H104" i="2"/>
  <c r="G104" i="2"/>
  <c r="F104" i="2"/>
  <c r="E104" i="2"/>
  <c r="D104" i="2"/>
  <c r="H103" i="2"/>
  <c r="G103" i="2"/>
  <c r="F103" i="2"/>
  <c r="E103" i="2"/>
  <c r="D103" i="2"/>
  <c r="H102" i="2"/>
  <c r="G102" i="2"/>
  <c r="F102" i="2"/>
  <c r="E102" i="2"/>
  <c r="D102" i="2"/>
  <c r="H101" i="2"/>
  <c r="G101" i="2"/>
  <c r="F101" i="2"/>
  <c r="E101" i="2"/>
  <c r="D101" i="2"/>
  <c r="H100" i="2"/>
  <c r="G100" i="2"/>
  <c r="F100" i="2"/>
  <c r="E100" i="2"/>
  <c r="D100" i="2"/>
  <c r="H99" i="2"/>
  <c r="G99" i="2"/>
  <c r="F99" i="2"/>
  <c r="E99" i="2"/>
  <c r="D99" i="2"/>
  <c r="H98" i="2"/>
  <c r="G98" i="2"/>
  <c r="F98" i="2"/>
  <c r="E98" i="2"/>
  <c r="D98" i="2"/>
  <c r="H97" i="2"/>
  <c r="G97" i="2"/>
  <c r="F97" i="2"/>
  <c r="E97" i="2"/>
  <c r="D97" i="2"/>
  <c r="H94" i="2"/>
  <c r="G94" i="2"/>
  <c r="F94" i="2"/>
  <c r="E94" i="2"/>
  <c r="D94" i="2"/>
  <c r="H93" i="2"/>
  <c r="G93" i="2"/>
  <c r="F93" i="2"/>
  <c r="E93" i="2"/>
  <c r="D93" i="2"/>
  <c r="H92" i="2"/>
  <c r="G92" i="2"/>
  <c r="F92" i="2"/>
  <c r="E92" i="2"/>
  <c r="D92" i="2"/>
  <c r="H91" i="2"/>
  <c r="G91" i="2"/>
  <c r="F91" i="2"/>
  <c r="E91" i="2"/>
  <c r="D91" i="2"/>
  <c r="H90" i="2"/>
  <c r="G90" i="2"/>
  <c r="F90" i="2"/>
  <c r="E90" i="2"/>
  <c r="D90" i="2"/>
  <c r="H89" i="2"/>
  <c r="G89" i="2"/>
  <c r="F89" i="2"/>
  <c r="E89" i="2"/>
  <c r="D89" i="2"/>
  <c r="H88" i="2"/>
  <c r="G88" i="2"/>
  <c r="F88" i="2"/>
  <c r="E88" i="2"/>
  <c r="D88" i="2"/>
  <c r="H87" i="2"/>
  <c r="G87" i="2"/>
  <c r="F87" i="2"/>
  <c r="E87" i="2"/>
  <c r="D87" i="2"/>
  <c r="H86" i="2"/>
  <c r="G86" i="2"/>
  <c r="F86" i="2"/>
  <c r="E86" i="2"/>
  <c r="D86" i="2"/>
  <c r="H85" i="2"/>
  <c r="G85" i="2"/>
  <c r="F85" i="2"/>
  <c r="E85" i="2"/>
  <c r="D85" i="2"/>
  <c r="H84" i="2"/>
  <c r="G84" i="2"/>
  <c r="F84" i="2"/>
  <c r="E84" i="2"/>
  <c r="D84" i="2"/>
  <c r="H83" i="2"/>
  <c r="G83" i="2"/>
  <c r="F83" i="2"/>
  <c r="E83" i="2"/>
  <c r="D83" i="2"/>
  <c r="H80" i="2"/>
  <c r="G80" i="2"/>
  <c r="F80" i="2"/>
  <c r="E80" i="2"/>
  <c r="H79" i="2"/>
  <c r="F79" i="2"/>
  <c r="D79" i="2"/>
  <c r="H78" i="2"/>
  <c r="F78" i="2"/>
  <c r="E78" i="2"/>
  <c r="D78" i="2"/>
  <c r="H77" i="2"/>
  <c r="F77" i="2"/>
  <c r="E77" i="2"/>
  <c r="D77" i="2"/>
  <c r="H76" i="2"/>
  <c r="G76" i="2"/>
  <c r="F76" i="2"/>
  <c r="D76" i="2"/>
  <c r="H75" i="2"/>
  <c r="G75" i="2"/>
  <c r="F75" i="2"/>
  <c r="D75" i="2"/>
  <c r="H74" i="2"/>
  <c r="G74" i="2"/>
  <c r="F74" i="2"/>
  <c r="E74" i="2"/>
  <c r="H73" i="2"/>
  <c r="G73" i="2"/>
  <c r="F73" i="2"/>
  <c r="E73" i="2"/>
  <c r="H72" i="2"/>
  <c r="G72" i="2"/>
  <c r="F72" i="2"/>
  <c r="E72" i="2"/>
  <c r="H71" i="2"/>
  <c r="G71" i="2"/>
  <c r="F71" i="2"/>
  <c r="E71" i="2"/>
  <c r="H70" i="2"/>
  <c r="G70" i="2"/>
  <c r="F70" i="2"/>
  <c r="E70" i="2"/>
  <c r="H69" i="2"/>
  <c r="G69" i="2"/>
  <c r="F69" i="2"/>
  <c r="E69" i="2"/>
  <c r="H68" i="2"/>
  <c r="G68" i="2"/>
  <c r="F68" i="2"/>
  <c r="E68" i="2"/>
  <c r="H67" i="2"/>
  <c r="G67" i="2"/>
  <c r="F67" i="2"/>
  <c r="E67" i="2"/>
  <c r="H66" i="2"/>
  <c r="G66" i="2"/>
  <c r="F66" i="2"/>
  <c r="E66" i="2"/>
  <c r="H63" i="2"/>
  <c r="G63" i="2"/>
  <c r="F63" i="2"/>
  <c r="E63" i="2"/>
  <c r="H62" i="2"/>
  <c r="G62" i="2"/>
  <c r="F62" i="2"/>
  <c r="E62" i="2"/>
  <c r="H61" i="2"/>
  <c r="G61" i="2"/>
  <c r="F61" i="2"/>
  <c r="E61" i="2"/>
  <c r="H60" i="2"/>
  <c r="G60" i="2"/>
  <c r="F60" i="2"/>
  <c r="E60" i="2"/>
  <c r="H59" i="2"/>
  <c r="G59" i="2"/>
  <c r="F59" i="2"/>
  <c r="E59" i="2"/>
  <c r="H58" i="2"/>
  <c r="G58" i="2"/>
  <c r="F58" i="2"/>
  <c r="E58" i="2"/>
  <c r="H57" i="2"/>
  <c r="G57" i="2"/>
  <c r="F57" i="2"/>
  <c r="E57" i="2"/>
  <c r="T56" i="2"/>
  <c r="H56" i="2"/>
  <c r="G56" i="2"/>
  <c r="F56" i="2"/>
  <c r="E56" i="2"/>
  <c r="T55" i="2"/>
  <c r="H55" i="2"/>
  <c r="G55" i="2"/>
  <c r="F55" i="2"/>
  <c r="E55" i="2"/>
  <c r="T54" i="2"/>
  <c r="H54" i="2"/>
  <c r="G54" i="2"/>
  <c r="F54" i="2"/>
  <c r="E54" i="2"/>
  <c r="T53" i="2"/>
  <c r="H53" i="2"/>
  <c r="G53" i="2"/>
  <c r="F53" i="2"/>
  <c r="E53" i="2"/>
  <c r="T52" i="2"/>
  <c r="T51" i="2"/>
  <c r="T50" i="2"/>
  <c r="T49" i="2"/>
  <c r="T48" i="2"/>
  <c r="T46" i="2"/>
  <c r="T45" i="2"/>
  <c r="T44" i="2"/>
  <c r="T43" i="2"/>
  <c r="T42" i="2"/>
  <c r="T41" i="2"/>
  <c r="T40" i="2"/>
  <c r="T39" i="2"/>
  <c r="T38" i="2"/>
  <c r="T37" i="2"/>
  <c r="T36" i="2"/>
  <c r="T35" i="2"/>
  <c r="T34" i="2"/>
  <c r="T33" i="2"/>
  <c r="T32" i="2"/>
  <c r="T31" i="2"/>
  <c r="H31" i="2"/>
  <c r="G31" i="2"/>
  <c r="F31" i="2"/>
  <c r="E31" i="2"/>
  <c r="T30" i="2"/>
  <c r="H30" i="2"/>
  <c r="G30" i="2"/>
  <c r="F30" i="2"/>
  <c r="E30" i="2"/>
  <c r="T29" i="2"/>
  <c r="H29" i="2"/>
  <c r="G29" i="2"/>
  <c r="F29" i="2"/>
  <c r="E29" i="2"/>
  <c r="T28" i="2"/>
  <c r="H28" i="2"/>
  <c r="G28" i="2"/>
  <c r="F28" i="2"/>
  <c r="E28" i="2"/>
  <c r="T27" i="2"/>
  <c r="H27" i="2"/>
  <c r="G27" i="2"/>
  <c r="F27" i="2"/>
  <c r="E27" i="2"/>
  <c r="T26" i="2"/>
  <c r="H26" i="2"/>
  <c r="G26" i="2"/>
  <c r="F26" i="2"/>
  <c r="E26" i="2"/>
  <c r="T25" i="2"/>
  <c r="T24" i="2"/>
  <c r="T23" i="2"/>
  <c r="H23" i="2"/>
  <c r="G23" i="2"/>
  <c r="F23" i="2"/>
  <c r="E23" i="2"/>
  <c r="D23" i="2"/>
  <c r="T22" i="2"/>
  <c r="H22" i="2"/>
  <c r="G22" i="2"/>
  <c r="F22" i="2"/>
  <c r="E22" i="2"/>
  <c r="D22" i="2"/>
  <c r="T21" i="2"/>
  <c r="H21" i="2"/>
  <c r="G21" i="2"/>
  <c r="F21" i="2"/>
  <c r="E21" i="2"/>
  <c r="D21" i="2"/>
  <c r="T20" i="2"/>
  <c r="H20" i="2"/>
  <c r="G20" i="2"/>
  <c r="F20" i="2"/>
  <c r="E20" i="2"/>
  <c r="D20" i="2"/>
  <c r="T19" i="2"/>
  <c r="H19" i="2"/>
  <c r="G19" i="2"/>
  <c r="F19" i="2"/>
  <c r="E19" i="2"/>
  <c r="D19" i="2"/>
  <c r="T18" i="2"/>
  <c r="H18" i="2"/>
  <c r="G18" i="2"/>
  <c r="F18" i="2"/>
  <c r="E18" i="2"/>
  <c r="D18" i="2"/>
  <c r="T17" i="2"/>
  <c r="H17" i="2"/>
  <c r="G17" i="2"/>
  <c r="F17" i="2"/>
  <c r="E17" i="2"/>
  <c r="D17" i="2"/>
  <c r="T16" i="2"/>
  <c r="T15" i="2"/>
  <c r="T14" i="2"/>
  <c r="T12" i="2"/>
  <c r="T11" i="2"/>
  <c r="T10" i="2"/>
  <c r="O2" i="2"/>
  <c r="S72" i="2" l="1"/>
  <c r="S61" i="2"/>
  <c r="S57" i="2"/>
  <c r="S56" i="2"/>
  <c r="S241" i="2"/>
  <c r="S240" i="2"/>
  <c r="S239" i="2"/>
  <c r="S238" i="2"/>
  <c r="S237" i="2"/>
  <c r="S236" i="2"/>
  <c r="S235" i="2"/>
  <c r="S234" i="2"/>
  <c r="S233" i="2"/>
  <c r="S232" i="2"/>
  <c r="S231" i="2"/>
  <c r="S230" i="2"/>
  <c r="S229" i="2"/>
  <c r="S206" i="2"/>
  <c r="S205" i="2"/>
  <c r="S204" i="2"/>
  <c r="S203" i="2"/>
  <c r="S200" i="2"/>
  <c r="S194" i="2"/>
  <c r="S192" i="2"/>
  <c r="S191" i="2"/>
  <c r="S190" i="2"/>
  <c r="S189" i="2"/>
  <c r="S188" i="2"/>
  <c r="S187" i="2"/>
  <c r="S183" i="2"/>
  <c r="S182" i="2"/>
  <c r="S179" i="2"/>
  <c r="S178" i="2"/>
  <c r="S174" i="2"/>
  <c r="S195" i="2"/>
  <c r="S196" i="2"/>
  <c r="S197" i="2"/>
  <c r="S198" i="2"/>
  <c r="S186" i="2"/>
  <c r="S185" i="2"/>
  <c r="S184" i="2"/>
  <c r="S199" i="2"/>
  <c r="S201" i="2"/>
  <c r="S181" i="2"/>
  <c r="S180" i="2"/>
  <c r="S202" i="2"/>
  <c r="S208" i="2"/>
  <c r="S177" i="2"/>
  <c r="S176" i="2"/>
  <c r="S175" i="2"/>
  <c r="S209" i="2"/>
  <c r="S210" i="2"/>
  <c r="S173" i="2"/>
  <c r="S211" i="2"/>
  <c r="S172" i="2"/>
  <c r="S212" i="2"/>
  <c r="S170" i="2"/>
  <c r="S169" i="2"/>
  <c r="S168" i="2"/>
  <c r="S167" i="2"/>
  <c r="S166" i="2"/>
  <c r="S213" i="2"/>
  <c r="S214" i="2"/>
  <c r="S163" i="2"/>
  <c r="S215" i="2"/>
  <c r="S159" i="2"/>
  <c r="S216" i="2"/>
  <c r="S217" i="2"/>
  <c r="S218" i="2"/>
  <c r="S155" i="2"/>
  <c r="S154" i="2"/>
  <c r="S219" i="2"/>
  <c r="S152" i="2"/>
  <c r="S220" i="2"/>
  <c r="S151" i="2"/>
  <c r="S221" i="2"/>
  <c r="S222" i="2"/>
  <c r="S223" i="2"/>
  <c r="S147" i="2"/>
  <c r="S146" i="2"/>
  <c r="S224" i="2"/>
  <c r="S225" i="2"/>
  <c r="S143" i="2"/>
  <c r="S193" i="2"/>
  <c r="S226" i="2"/>
  <c r="S140" i="2"/>
  <c r="S121" i="2"/>
  <c r="S119" i="2"/>
  <c r="S109" i="2"/>
  <c r="S227" i="2"/>
  <c r="S228" i="2"/>
  <c r="S107" i="2"/>
  <c r="S17" i="2"/>
  <c r="S105" i="2"/>
  <c r="S104" i="2"/>
  <c r="S64" i="2"/>
  <c r="S102" i="2"/>
  <c r="S65" i="2"/>
  <c r="S101" i="2"/>
  <c r="S70" i="2"/>
  <c r="S97" i="2"/>
  <c r="S71" i="2"/>
  <c r="S93" i="2"/>
  <c r="S86" i="2"/>
  <c r="S90" i="2"/>
  <c r="S89" i="2"/>
  <c r="S88" i="2"/>
  <c r="S85" i="2"/>
  <c r="S91" i="2"/>
  <c r="S84" i="2"/>
  <c r="S94" i="2"/>
  <c r="S68" i="2"/>
  <c r="S142" i="2"/>
  <c r="S59" i="2"/>
  <c r="S26" i="2"/>
  <c r="S24" i="2"/>
  <c r="S23" i="2"/>
  <c r="S22" i="2"/>
  <c r="S20" i="2"/>
  <c r="S95" i="2"/>
  <c r="S99" i="2"/>
  <c r="S106" i="2"/>
  <c r="S138" i="2"/>
  <c r="S113" i="2"/>
  <c r="S137" i="2"/>
  <c r="S117" i="2"/>
  <c r="S136" i="2"/>
  <c r="S118" i="2"/>
  <c r="S135" i="2"/>
  <c r="S122" i="2"/>
  <c r="S134" i="2"/>
  <c r="S123" i="2"/>
  <c r="S132" i="2"/>
  <c r="S125" i="2"/>
  <c r="S131" i="2"/>
  <c r="S127" i="2"/>
  <c r="S128" i="2"/>
  <c r="S126" i="2"/>
  <c r="S124" i="2"/>
  <c r="S120" i="2"/>
  <c r="S116" i="2"/>
  <c r="S115" i="2"/>
  <c r="S114" i="2"/>
  <c r="S112" i="2"/>
  <c r="S129" i="2"/>
  <c r="S130" i="2"/>
  <c r="S110" i="2"/>
  <c r="S108" i="2"/>
  <c r="S133" i="2"/>
  <c r="S103" i="2"/>
  <c r="S139" i="2"/>
  <c r="S96" i="2"/>
  <c r="S141" i="2"/>
  <c r="S92" i="2"/>
  <c r="S144" i="2"/>
  <c r="S87" i="2"/>
  <c r="S74" i="2"/>
  <c r="S145" i="2"/>
  <c r="S73" i="2"/>
  <c r="S148" i="2"/>
  <c r="S69" i="2"/>
  <c r="S149" i="2"/>
  <c r="S67" i="2"/>
  <c r="S150" i="2"/>
  <c r="S66" i="2"/>
  <c r="S100" i="2"/>
  <c r="S60" i="2"/>
  <c r="S54" i="2"/>
  <c r="S19" i="2"/>
  <c r="S18" i="2"/>
  <c r="S111" i="2"/>
  <c r="S153" i="2"/>
  <c r="S83" i="2"/>
  <c r="S156" i="2"/>
  <c r="S82" i="2"/>
  <c r="S157" i="2"/>
  <c r="S81" i="2"/>
  <c r="S158" i="2"/>
  <c r="S80" i="2"/>
  <c r="S160" i="2"/>
  <c r="S79" i="2"/>
  <c r="S207" i="2"/>
  <c r="S78" i="2"/>
  <c r="S161" i="2"/>
  <c r="S77" i="2"/>
  <c r="S162" i="2"/>
  <c r="S76" i="2"/>
  <c r="S164" i="2"/>
  <c r="S98" i="2"/>
  <c r="S63" i="2"/>
  <c r="S62" i="2"/>
  <c r="S75" i="2"/>
  <c r="S58" i="2"/>
  <c r="S55" i="2"/>
  <c r="S16" i="2"/>
  <c r="S15" i="2"/>
  <c r="S14" i="2"/>
  <c r="S13" i="2"/>
  <c r="S12" i="2"/>
  <c r="S11" i="2"/>
  <c r="S10" i="2"/>
  <c r="S53" i="2"/>
  <c r="S52" i="2"/>
  <c r="S51" i="2"/>
  <c r="S50" i="2"/>
  <c r="S49" i="2"/>
  <c r="S48" i="2"/>
  <c r="S47" i="2"/>
  <c r="S46" i="2"/>
  <c r="S45" i="2"/>
  <c r="S44" i="2"/>
  <c r="S43" i="2"/>
  <c r="S42" i="2"/>
  <c r="S41" i="2"/>
  <c r="S40" i="2"/>
  <c r="S39" i="2"/>
  <c r="S38" i="2"/>
  <c r="S37" i="2"/>
  <c r="S36" i="2"/>
  <c r="S35" i="2"/>
  <c r="S34" i="2"/>
  <c r="S33" i="2"/>
  <c r="S32" i="2"/>
  <c r="S31" i="2"/>
  <c r="S30" i="2"/>
  <c r="S29" i="2"/>
  <c r="S28" i="2"/>
  <c r="S27" i="2"/>
  <c r="S25" i="2"/>
  <c r="S21" i="2"/>
  <c r="S165" i="2"/>
  <c r="S171" i="2"/>
  <c r="I56" i="2" l="1"/>
  <c r="J56" i="2"/>
  <c r="I145" i="2"/>
  <c r="J145" i="2"/>
  <c r="I144" i="2"/>
  <c r="J144" i="2"/>
  <c r="J143" i="2"/>
  <c r="I143" i="2"/>
  <c r="J142" i="2"/>
  <c r="I142" i="2"/>
  <c r="I141" i="2"/>
  <c r="J141" i="2"/>
  <c r="J140" i="2"/>
  <c r="I140" i="2"/>
  <c r="I139" i="2"/>
  <c r="J139" i="2"/>
  <c r="I137" i="2"/>
  <c r="J137" i="2"/>
  <c r="I138" i="2"/>
  <c r="J138" i="2"/>
  <c r="I135" i="2"/>
  <c r="J135" i="2"/>
  <c r="I119" i="2"/>
  <c r="J119" i="2"/>
  <c r="I113" i="2"/>
  <c r="J113" i="2"/>
  <c r="J112" i="2"/>
  <c r="I112" i="2"/>
  <c r="J111" i="2"/>
  <c r="I111" i="2"/>
  <c r="J110" i="2"/>
  <c r="I110" i="2"/>
  <c r="I114" i="2"/>
  <c r="J114" i="2"/>
  <c r="I115" i="2"/>
  <c r="J115" i="2"/>
  <c r="J109" i="2"/>
  <c r="I109" i="2"/>
  <c r="J117" i="2"/>
  <c r="J118" i="2"/>
  <c r="I118" i="2"/>
  <c r="I117" i="2"/>
  <c r="J108" i="2"/>
  <c r="I108" i="2"/>
  <c r="I121" i="2"/>
  <c r="J121" i="2"/>
  <c r="J122" i="2"/>
  <c r="I122" i="2"/>
  <c r="I106" i="2"/>
  <c r="I107" i="2"/>
  <c r="J106" i="2"/>
  <c r="J107" i="2"/>
  <c r="I104" i="2"/>
  <c r="J104" i="2"/>
  <c r="J123" i="2"/>
  <c r="I123" i="2"/>
  <c r="I124" i="2"/>
  <c r="J124" i="2"/>
  <c r="J125" i="2"/>
  <c r="I125" i="2"/>
  <c r="I101" i="2"/>
  <c r="J101" i="2"/>
  <c r="I126" i="2"/>
  <c r="J126" i="2"/>
  <c r="I100" i="2"/>
  <c r="J100" i="2"/>
  <c r="J127" i="2"/>
  <c r="I127" i="2"/>
  <c r="I128" i="2"/>
  <c r="J128" i="2"/>
  <c r="J99" i="2"/>
  <c r="I99" i="2"/>
  <c r="J129" i="2"/>
  <c r="I129" i="2"/>
  <c r="I130" i="2"/>
  <c r="J130" i="2"/>
  <c r="I131" i="2"/>
  <c r="J131" i="2"/>
  <c r="I132" i="2"/>
  <c r="J132" i="2"/>
  <c r="J133" i="2"/>
  <c r="I133" i="2"/>
  <c r="I134" i="2"/>
  <c r="J134" i="2"/>
  <c r="I93" i="2"/>
  <c r="J93" i="2"/>
  <c r="I87" i="2"/>
  <c r="J87" i="2"/>
  <c r="I79" i="2"/>
  <c r="J79" i="2"/>
  <c r="I77" i="2"/>
  <c r="J77" i="2"/>
  <c r="J21" i="2"/>
  <c r="I21" i="2"/>
  <c r="I76" i="2"/>
  <c r="J76" i="2"/>
  <c r="I52" i="2"/>
  <c r="J52" i="2"/>
  <c r="I53" i="2"/>
  <c r="J53" i="2"/>
  <c r="I74" i="2"/>
  <c r="J74" i="2"/>
  <c r="I55" i="2"/>
  <c r="J55" i="2"/>
  <c r="J71" i="2"/>
  <c r="I71" i="2"/>
  <c r="I69" i="2"/>
  <c r="J69" i="2"/>
  <c r="I63" i="2"/>
  <c r="J63" i="2"/>
  <c r="J67" i="2"/>
  <c r="I67" i="2"/>
  <c r="J68" i="2"/>
  <c r="I68" i="2"/>
  <c r="I62" i="2"/>
  <c r="J62" i="2"/>
  <c r="I97" i="2"/>
  <c r="J96" i="2"/>
  <c r="I96" i="2"/>
  <c r="J97" i="2"/>
  <c r="I49" i="2"/>
  <c r="J49" i="2"/>
  <c r="I26" i="2"/>
  <c r="I25" i="2"/>
  <c r="J26" i="2"/>
  <c r="J25" i="2"/>
  <c r="J23" i="2"/>
  <c r="I23" i="2"/>
  <c r="I70" i="2"/>
  <c r="J70" i="2"/>
  <c r="I73" i="2"/>
  <c r="J73" i="2"/>
  <c r="I92" i="2"/>
  <c r="J92" i="2"/>
  <c r="J91" i="2"/>
  <c r="I91" i="2"/>
  <c r="I88" i="2"/>
  <c r="J88" i="2"/>
  <c r="I89" i="2"/>
  <c r="J89" i="2"/>
  <c r="I90" i="2"/>
  <c r="J90" i="2"/>
  <c r="J86" i="2"/>
  <c r="I86" i="2"/>
  <c r="J85" i="2"/>
  <c r="I85" i="2"/>
  <c r="J84" i="2"/>
  <c r="I84" i="2"/>
  <c r="I82" i="2"/>
  <c r="J82" i="2"/>
  <c r="I83" i="2"/>
  <c r="J83" i="2"/>
  <c r="I78" i="2"/>
  <c r="J78" i="2"/>
  <c r="I75" i="2"/>
  <c r="J75" i="2"/>
  <c r="J94" i="2"/>
  <c r="I94" i="2"/>
  <c r="I65" i="2"/>
  <c r="J65" i="2"/>
  <c r="I66" i="2"/>
  <c r="J66" i="2"/>
  <c r="I57" i="2"/>
  <c r="J57" i="2"/>
  <c r="I98" i="2"/>
  <c r="J98" i="2"/>
  <c r="I54" i="2"/>
  <c r="J54" i="2"/>
  <c r="J22" i="2"/>
  <c r="I22" i="2"/>
  <c r="I80" i="2"/>
  <c r="J80" i="2"/>
  <c r="I61" i="2"/>
  <c r="J61" i="2"/>
  <c r="J60" i="2"/>
  <c r="I60" i="2"/>
  <c r="J120" i="2"/>
  <c r="I120" i="2"/>
  <c r="J59" i="2"/>
  <c r="I59" i="2"/>
  <c r="I102" i="2"/>
  <c r="J102" i="2"/>
  <c r="I58" i="2"/>
  <c r="J58" i="2"/>
  <c r="I72" i="2"/>
  <c r="J72" i="2"/>
  <c r="I50" i="2"/>
  <c r="J50" i="2"/>
  <c r="I48" i="2"/>
  <c r="J48" i="2"/>
  <c r="I20" i="2"/>
  <c r="J20" i="2"/>
  <c r="J19" i="2"/>
  <c r="I19" i="2"/>
  <c r="J18" i="2"/>
  <c r="I18" i="2"/>
  <c r="I16" i="2"/>
  <c r="J17" i="2"/>
  <c r="F7" i="2"/>
  <c r="J16" i="2"/>
  <c r="I17" i="2"/>
  <c r="D7" i="2"/>
  <c r="I47" i="2"/>
  <c r="J47" i="2"/>
  <c r="I46" i="2"/>
  <c r="J46" i="2"/>
  <c r="I45" i="2"/>
  <c r="J45" i="2"/>
  <c r="I44" i="2"/>
  <c r="J44" i="2"/>
  <c r="I43" i="2"/>
  <c r="J43" i="2"/>
  <c r="I42" i="2"/>
  <c r="J42" i="2"/>
  <c r="I41" i="2"/>
  <c r="J41" i="2"/>
  <c r="I40" i="2"/>
  <c r="J40" i="2"/>
  <c r="I39" i="2"/>
  <c r="J39" i="2"/>
  <c r="I38" i="2"/>
  <c r="J38" i="2"/>
  <c r="I37" i="2"/>
  <c r="J37" i="2"/>
  <c r="I36" i="2"/>
  <c r="J36" i="2"/>
  <c r="I35" i="2"/>
  <c r="J35" i="2"/>
  <c r="I33" i="2"/>
  <c r="J33" i="2"/>
  <c r="I34" i="2"/>
  <c r="J34" i="2"/>
  <c r="I31" i="2"/>
  <c r="J31" i="2"/>
  <c r="I30" i="2"/>
  <c r="J30" i="2"/>
  <c r="I29" i="2"/>
  <c r="J29" i="2"/>
  <c r="I28" i="2"/>
  <c r="J28" i="2"/>
  <c r="I27" i="2"/>
  <c r="J27" i="2"/>
  <c r="J103" i="2"/>
  <c r="I103"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<sst xmlns="http://schemas.openxmlformats.org/spreadsheetml/2006/main" count="5472" uniqueCount="2058">
  <si>
    <t>MODE D'EMPLOI</t>
  </si>
  <si>
    <t>SOMMAIRE</t>
  </si>
  <si>
    <t>Quelques repères pour utiliser le fichier, suivre votre progression et retrouver rapidement les exercices.</t>
  </si>
  <si>
    <t>1. Plusieurs exercices par fonction ou bloc</t>
  </si>
  <si>
    <t>Une même fonction ou un même bloc peut contenir plusieurs exercices. Les variantes peuvent aller crescendo : application simple, cas particulier, autre méthode, combinaison de fonctions, puis exercice de synthèse.</t>
  </si>
  <si>
    <t>2. Repérez immédiatement les cellules à utiliser</t>
  </si>
  <si>
    <t>Les cellules en vert pastel sont les zones dans lesquelles vous pouvez saisir une formule ou modifier une valeur. Les cellules en jaune correspondent à des résultats ou indicateurs à observer.</t>
  </si>
  <si>
    <t>Repère visuel des cellules</t>
  </si>
  <si>
    <t>Cellule modifiable</t>
  </si>
  <si>
    <t>Résultat / indicateur</t>
  </si>
  <si>
    <t>3. La difficulté est indiquée pour chaque exercice</t>
  </si>
  <si>
    <t>Chaque exercice porte directement son niveau : Débutant, Intermédiaire ou Avancé.</t>
  </si>
  <si>
    <t>4. Vérifiez la compatibilité avec votre version d’Excel</t>
  </si>
  <si>
    <t>Dans le Sommaire, sélectionnez votre version d’Excel. Certaines fonctions ne sont disponibles qu’à partir de versions récentes d’Excel. Les pastilles de couleur indiquent la compatibilité nécessaire. Lorsqu’un exercice propose plusieurs méthodes, réalisez toutes celles compatibles avec votre version. Un exercice reposant entièrement sur une fonction indisponible n’est pas compté dans votre progression ; sa solution restera néanmoins consultable dans le fichier de corrigés séparé. Lorsqu’une fonction récente est demandée mais que le même exercice reste réalisable avec des fonctions plus anciennes, un second indicateur de compatibilité le signale : vous pouvez alors faire l’exercice avec la méthode adaptée à votre version.</t>
  </si>
  <si>
    <t>5. Les corrigés sont fournis dans un fichier séparé</t>
  </si>
  <si>
    <t>Les solutions détaillées sont regroupées dans un second fichier Excel. Elles y sont classées par chapitre et par bloc, dans le même ordre que les exercices, afin de retrouver facilement la correction recherchée sans alourdir ce classeur.</t>
  </si>
  <si>
    <t>6. Les corrigés restent lisibles quelle que soit votre version</t>
  </si>
  <si>
    <t>Dans le fichier de corrigés, les formules sont présentées sous forme de texte, accompagnées du résultat attendu et d’une explication. Vous pourrez donc consulter une solution même si votre version d’Excel ne reconnaît pas la fonction utilisée.</t>
  </si>
  <si>
    <t>7. Naviguer dans le fichier</t>
  </si>
  <si>
    <t>Dans le Sommaire, le titre de chaque chapitre permet de rejoindre la feuille correspondante. Dans chaque chapitre, les exercices sont regroupés sous des intertitres reprenant exactement les blocs du Sommaire. Les lignes consacrées aux blocs servent donc à repérer le contenu et à suivre la progression ; la navigation principale se fait au niveau des chapitres.</t>
  </si>
  <si>
    <t>8. Plage classique ou tableau Excel : comment les reconnaître ?</t>
  </si>
  <si>
    <t>Une plage classique est un ensemble de cellules, par exemple A2:C10. Un tableau Excel possède sa propre structure et peut utiliser des références comme Ventes[Montant]. Pour transformer une plage en tableau, utilisez Ctrl+L. Lorsqu’une cellule du tableau est sélectionnée, l’outil contextuel du tableau apparaît dans le ruban. Vous pouvez aussi sélectionner rapidement une colonne du tableau en plaçant le pointeur sur le haut de son en-tête.</t>
  </si>
  <si>
    <t>PLAGE CLASSIQUE</t>
  </si>
  <si>
    <t>Création de tableau  ← outil contextuel</t>
  </si>
  <si>
    <t>Produit</t>
  </si>
  <si>
    <t>Qté</t>
  </si>
  <si>
    <t>Montant</t>
  </si>
  <si>
    <t>A</t>
  </si>
  <si>
    <t>B</t>
  </si>
  <si>
    <t>C</t>
  </si>
  <si>
    <t>D</t>
  </si>
  <si>
    <t>Référence typique : =SOMME(D2:D5)</t>
  </si>
  <si>
    <t>Référence typique : =SOMME(Ventes[Montant])</t>
  </si>
  <si>
    <t>Astuce : pointez le bord supérieur de l’en-tête jusqu’à ce que la flèche noire apparaisse, puis cliquez pour sélectionner la colonne.</t>
  </si>
  <si>
    <t>Les deux schémas servent de repère dans cette base. Ils pourront être remplacés par des captures d’écran Excel définitives lors de la finalisation du fichier.</t>
  </si>
  <si>
    <t>ZONE TECHNIQUE — ne pas modifier</t>
  </si>
  <si>
    <t>SOMMAIRE &amp; PROGRESSION</t>
  </si>
  <si>
    <t>Rang version</t>
  </si>
  <si>
    <t>VOTRE VERSION D'EXCEL</t>
  </si>
  <si>
    <t>PROGRESSION GLOBALE</t>
  </si>
  <si>
    <t>LÉGENDE DE COMPATIBILITÉ</t>
  </si>
  <si>
    <t>Microsoft 365</t>
  </si>
  <si>
    <t>●</t>
  </si>
  <si>
    <t>Toutes versions</t>
  </si>
  <si>
    <t>2019+</t>
  </si>
  <si>
    <t>2021+</t>
  </si>
  <si>
    <t>ID exercice</t>
  </si>
  <si>
    <t>Chapitre</t>
  </si>
  <si>
    <t>Bloc ID</t>
  </si>
  <si>
    <t>Exercice</t>
  </si>
  <si>
    <t>Actif</t>
  </si>
  <si>
    <t>Disponible</t>
  </si>
  <si>
    <t>Terminé</t>
  </si>
  <si>
    <t>Toutes</t>
  </si>
  <si>
    <t>2024+</t>
  </si>
  <si>
    <t>365</t>
  </si>
  <si>
    <t>Destination</t>
  </si>
  <si>
    <t>Note</t>
  </si>
  <si>
    <t>CH1-01</t>
  </si>
  <si>
    <t>C01E01</t>
  </si>
  <si>
    <t>Exercice 1 — Lire une formule sans fonction</t>
  </si>
  <si>
    <t>'Ch.1 - Lire une formule'!B20</t>
  </si>
  <si>
    <t>Validé — chapitre 1</t>
  </si>
  <si>
    <t>CH1-02</t>
  </si>
  <si>
    <t>Exercice 2 — Lire une formule avec une fonction</t>
  </si>
  <si>
    <t>'Ch.1 - Lire une formule'!B30</t>
  </si>
  <si>
    <t>CH1-03</t>
  </si>
  <si>
    <t>C01E02</t>
  </si>
  <si>
    <t>Exercice 3 — Respecter l’ordre des calculs</t>
  </si>
  <si>
    <t>'Ch.1 - Lire une formule'!B42</t>
  </si>
  <si>
    <t>CH1-04</t>
  </si>
  <si>
    <t>C01E03</t>
  </si>
  <si>
    <t>Exercice 4 — Remplacer les valeurs écrites en dur</t>
  </si>
  <si>
    <t>'Ch.1 - Lire une formule'!B54</t>
  </si>
  <si>
    <t>CH1-05</t>
  </si>
  <si>
    <t>C01E04</t>
  </si>
  <si>
    <t>Exercice 5 — Recopier une référence relative</t>
  </si>
  <si>
    <t>'Ch.1 - Lire une formule'!B66</t>
  </si>
  <si>
    <t>Fonction / bloc</t>
  </si>
  <si>
    <t>Objectif</t>
  </si>
  <si>
    <t>COMPATIBILITÉ</t>
  </si>
  <si>
    <t>Progression</t>
  </si>
  <si>
    <t>Avancement</t>
  </si>
  <si>
    <t>CH1-06</t>
  </si>
  <si>
    <t>Exercice 6 — Verrouiller une référence absolue</t>
  </si>
  <si>
    <t>'Ch.1 - Lire une formule'!B78</t>
  </si>
  <si>
    <t>Chapitre 1 — Apprendre à lire une formule</t>
  </si>
  <si>
    <t>CH1-07</t>
  </si>
  <si>
    <t>Exercice 7 — Utiliser des références mixtes</t>
  </si>
  <si>
    <t>'Ch.1 - Lire une formule'!B90</t>
  </si>
  <si>
    <t>Lire une formule simple</t>
  </si>
  <si>
    <t>Identifier opérateurs, cellules, plages, fonctions et résultat attendu sans anticiper les notions suivantes.</t>
  </si>
  <si>
    <t>CH1-08</t>
  </si>
  <si>
    <t>C01E05</t>
  </si>
  <si>
    <t>Exercice 8 — Lire les arguments d’une fonction</t>
  </si>
  <si>
    <t>'Ch.1 - Lire une formule'!B105</t>
  </si>
  <si>
    <t>Opérateurs et ordre des calculs</t>
  </si>
  <si>
    <t>Prévoir le résultat, comparer plusieurs écritures et placer correctement les parenthèses.</t>
  </si>
  <si>
    <t>CH1-09</t>
  </si>
  <si>
    <t>Exercice 9 — Lire les séparateurs et les guillemets</t>
  </si>
  <si>
    <t>'Ch.1 - Lire une formule'!B115</t>
  </si>
  <si>
    <t>Cellules, plages et références</t>
  </si>
  <si>
    <t>Reconnaître une cellule, une plage et remplacer des valeurs écrites en dur par des références.</t>
  </si>
  <si>
    <t>CH1-10</t>
  </si>
  <si>
    <t>C01E06</t>
  </si>
  <si>
    <t>Exercice 10 — Distinguer texte et référence</t>
  </si>
  <si>
    <t>'Ch.1 - Lire une formule'!B127</t>
  </si>
  <si>
    <t>Références relatives, absolues et mixtes</t>
  </si>
  <si>
    <t>Observer ce qui change lors d’une recopie et choisir les bons verrouillages.</t>
  </si>
  <si>
    <t>CH1-11</t>
  </si>
  <si>
    <t>Exercice 11 — Cellule vide, zéro ou chaîne vide</t>
  </si>
  <si>
    <t>'Ch.1 - Lire une formule'!B137</t>
  </si>
  <si>
    <t>Parenthèses et arguments</t>
  </si>
  <si>
    <t>Repérer l’organisation d’une fonction, compléter un argument ou une parenthèse manquante.</t>
  </si>
  <si>
    <t>CH1-12</t>
  </si>
  <si>
    <t>Exercice 12 — Identifier les types de données</t>
  </si>
  <si>
    <t>'Ch.1 - Lire une formule'!B150</t>
  </si>
  <si>
    <t>Types de données et cellules vides</t>
  </si>
  <si>
    <t>Distinguer nombre, texte, date, VRAI/FAUX, zéro, cellule vide et chaîne vide.</t>
  </si>
  <si>
    <t>CH1-13</t>
  </si>
  <si>
    <t>C01E07</t>
  </si>
  <si>
    <t>Exercice 13 — Synthèse : décortiquer une formule</t>
  </si>
  <si>
    <t>'Ch.1 - Lire une formule'!B164</t>
  </si>
  <si>
    <t>Synthèse — Décortiquer une formule</t>
  </si>
  <si>
    <t>Lire entièrement une formule un peu plus longue en restant dans les notions déjà vues.</t>
  </si>
  <si>
    <t>CH2-01</t>
  </si>
  <si>
    <t>C02E01</t>
  </si>
  <si>
    <t>Exercice 1 — Décomposer un besoin précis</t>
  </si>
  <si>
    <t>'Ch.2 - Choisir la fonction'!B20</t>
  </si>
  <si>
    <t>Validé — chapitre 2</t>
  </si>
  <si>
    <t>CH2-02</t>
  </si>
  <si>
    <t>Exercice 2 — Transformer une demande vague</t>
  </si>
  <si>
    <t>'Ch.2 - Choisir la fonction'!B30</t>
  </si>
  <si>
    <t>Chapitre 2 — Choisir la bonne fonction</t>
  </si>
  <si>
    <t>CH2-03</t>
  </si>
  <si>
    <t>C02E02</t>
  </si>
  <si>
    <t>Exercice 3 — Calculer ou compter ?</t>
  </si>
  <si>
    <t>'Ch.2 - Choisir la fonction'!B42</t>
  </si>
  <si>
    <t>Définir le résultat attendu</t>
  </si>
  <si>
    <t>Transformer une demande vague en résultat précis avant de penser à la formule.</t>
  </si>
  <si>
    <t>CH2-04</t>
  </si>
  <si>
    <t>Exercice 4 — Quel calcul cherche-t-on ?</t>
  </si>
  <si>
    <t>'Ch.2 - Choisir la fonction'!B52</t>
  </si>
  <si>
    <t>Calculer ou compter ?</t>
  </si>
  <si>
    <t>Déterminer le type de résultat recherché sans imposer encore une fonction précise.</t>
  </si>
  <si>
    <t>CH2-05</t>
  </si>
  <si>
    <t>C02E03</t>
  </si>
  <si>
    <t>Exercice 5 — Repérer la présence d’un critère</t>
  </si>
  <si>
    <t>'Ch.2 - Choisir la fonction'!B64</t>
  </si>
  <si>
    <t>Avec ou sans critère ?</t>
  </si>
  <si>
    <t>Repérer si la demande dépend d’une condition.</t>
  </si>
  <si>
    <t>CH2-06</t>
  </si>
  <si>
    <t>Exercice 6 — Compter les critères</t>
  </si>
  <si>
    <t>'Ch.2 - Choisir la fonction'!B74</t>
  </si>
  <si>
    <t>Quelle famille de fonctions ?</t>
  </si>
  <si>
    <t>Classer le besoin : calcul, comptage, condition, recherche, texte, résultat dynamique…</t>
  </si>
  <si>
    <t>CH2-07</t>
  </si>
  <si>
    <t>C02E04</t>
  </si>
  <si>
    <t>Exercice 7 — Classer le besoin par famille</t>
  </si>
  <si>
    <t>'Ch.2 - Choisir la fonction'!B86</t>
  </si>
  <si>
    <t>Plusieurs approches possibles</t>
  </si>
  <si>
    <t>Comparer plusieurs raisonnements possibles sans exiger de fonctions non encore étudiées.</t>
  </si>
  <si>
    <t>CH2-08</t>
  </si>
  <si>
    <t>Exercice 8 — Partir du verbe avant de choisir la famille</t>
  </si>
  <si>
    <t>'Ch.2 - Choisir la fonction'!B96</t>
  </si>
  <si>
    <t>Synthèse — Que demander à Excel ?</t>
  </si>
  <si>
    <t>Partir d’un besoin en français et identifier le type de formule ou de raisonnement à construire.</t>
  </si>
  <si>
    <t>CH2-09</t>
  </si>
  <si>
    <t>C02E05</t>
  </si>
  <si>
    <t>Exercice 9 — Choisir l’écriture la plus facile à étendre</t>
  </si>
  <si>
    <t>'Ch.2 - Choisir la fonction'!B110</t>
  </si>
  <si>
    <t>CH2-10</t>
  </si>
  <si>
    <t>Exercice 10 — Deux formules peuvent être correctes</t>
  </si>
  <si>
    <t>'Ch.2 - Choisir la fonction'!B120</t>
  </si>
  <si>
    <t>Chapitre 3 — Calculer et compter</t>
  </si>
  <si>
    <t>CH2-11</t>
  </si>
  <si>
    <t>C02E06</t>
  </si>
  <si>
    <t>Exercice 11 — Préparer une recherche avant la formule</t>
  </si>
  <si>
    <t>'Ch.2 - Choisir la fonction'!B132</t>
  </si>
  <si>
    <t>SOMME</t>
  </si>
  <si>
    <t>Sommes simples, plages différentes, plage classique puis tableau Excel.</t>
  </si>
  <si>
    <t>CH2-12</t>
  </si>
  <si>
    <t>Exercice 12 — Synthèse : traduire le besoin avant la formule</t>
  </si>
  <si>
    <t>'Ch.2 - Choisir la fonction'!B142</t>
  </si>
  <si>
    <t>SOMME.SI</t>
  </si>
  <si>
    <t>Addition avec un critère texte, numérique ou contenu dans une cellule.</t>
  </si>
  <si>
    <t>CH3-01</t>
  </si>
  <si>
    <t>C03E01</t>
  </si>
  <si>
    <t>Exercice 1 — Additionner une plage</t>
  </si>
  <si>
    <t>'Ch.3 - Calculer et compter'!B20</t>
  </si>
  <si>
    <t>Validé — chapitre 3</t>
  </si>
  <si>
    <t>SOMME.SI.ENS</t>
  </si>
  <si>
    <t>Addition avec plusieurs critères.</t>
  </si>
  <si>
    <t>CH3-02</t>
  </si>
  <si>
    <t>Exercice 2 — Additionner deux plages séparées</t>
  </si>
  <si>
    <t>'Ch.3 - Calculer et compter'!B34</t>
  </si>
  <si>
    <t>MOYENNE</t>
  </si>
  <si>
    <t>Moyenne simple et comportement selon les données présentes.</t>
  </si>
  <si>
    <t>CH3-03</t>
  </si>
  <si>
    <t>Exercice 3 — Additionner une colonne d’un tableau Excel</t>
  </si>
  <si>
    <t>'Ch.3 - Calculer et compter'!B46</t>
  </si>
  <si>
    <t>MOYENNE.SI</t>
  </si>
  <si>
    <t>Moyenne respectant un critère.</t>
  </si>
  <si>
    <t>CH3-04</t>
  </si>
  <si>
    <t>C03E02</t>
  </si>
  <si>
    <t>Exercice 4 — Additionner selon un critère texte</t>
  </si>
  <si>
    <t>'Ch.3 - Calculer et compter'!B61</t>
  </si>
  <si>
    <t>MOYENNE.SI.ENS</t>
  </si>
  <si>
    <t>Moyenne respectant plusieurs critères.</t>
  </si>
  <si>
    <t>CH3-05</t>
  </si>
  <si>
    <t>Exercice 5 — Additionner les valeurs supérieures à un seuil</t>
  </si>
  <si>
    <t>'Ch.3 - Calculer et compter'!B75</t>
  </si>
  <si>
    <t>NB</t>
  </si>
  <si>
    <t>Compter uniquement les cellules numériques.</t>
  </si>
  <si>
    <t>CH3-06</t>
  </si>
  <si>
    <t>Exercice 6 — Utiliser un critère contenu dans une cellule</t>
  </si>
  <si>
    <t>'Ch.3 - Calculer et compter'!B89</t>
  </si>
  <si>
    <t>NBVAL</t>
  </si>
  <si>
    <t>Comparer son résultat à NB sur une plage contenant plusieurs types de données.</t>
  </si>
  <si>
    <t>CH3-07</t>
  </si>
  <si>
    <t>C03E03</t>
  </si>
  <si>
    <t>Exercice 7 — Additionner avec deux critères</t>
  </si>
  <si>
    <t>'Ch.3 - Calculer et compter'!B105</t>
  </si>
  <si>
    <t>NB.SI</t>
  </si>
  <si>
    <t>Compter les éléments répondant à un critère.</t>
  </si>
  <si>
    <t>CH3-08</t>
  </si>
  <si>
    <t>C03E04</t>
  </si>
  <si>
    <t>Exercice 8 — Moyenne avec une cellule vide et un zéro</t>
  </si>
  <si>
    <t>'Ch.3 - Calculer et compter'!B122</t>
  </si>
  <si>
    <t>NB.SI.ENS</t>
  </si>
  <si>
    <t>Comptage multicritère.</t>
  </si>
  <si>
    <t>CH3-09</t>
  </si>
  <si>
    <t>C03E05</t>
  </si>
  <si>
    <t>Exercice 9 — Calculer une moyenne selon un critère</t>
  </si>
  <si>
    <t>'Ch.3 - Calculer et compter'!B138</t>
  </si>
  <si>
    <t>MIN</t>
  </si>
  <si>
    <t>Rechercher la plus petite valeur.</t>
  </si>
  <si>
    <t>CH3-10</t>
  </si>
  <si>
    <t>C03E06</t>
  </si>
  <si>
    <t>Exercice 10 — Calculer une moyenne avec deux critères</t>
  </si>
  <si>
    <t>'Ch.3 - Calculer et compter'!B154</t>
  </si>
  <si>
    <t>MAX</t>
  </si>
  <si>
    <t>Rechercher la plus grande valeur.</t>
  </si>
  <si>
    <t>CH3-11</t>
  </si>
  <si>
    <t>C03E07</t>
  </si>
  <si>
    <t>Exercice 11 — Compter uniquement les cellules numériques</t>
  </si>
  <si>
    <t>'Ch.3 - Calculer et compter'!B170</t>
  </si>
  <si>
    <t>MIN.SI.ENS</t>
  </si>
  <si>
    <t>Trouver un minimum respectant des critères.</t>
  </si>
  <si>
    <t>CH3-12</t>
  </si>
  <si>
    <t>C03E08</t>
  </si>
  <si>
    <t>Exercice 12 — Comparer NB et NBVAL</t>
  </si>
  <si>
    <t>'Ch.3 - Calculer et compter'!B187</t>
  </si>
  <si>
    <t>MAX.SI.ENS</t>
  </si>
  <si>
    <t>Trouver un maximum respectant des critères.</t>
  </si>
  <si>
    <t>CH3-13</t>
  </si>
  <si>
    <t>C03E09</t>
  </si>
  <si>
    <t>Exercice 13 — Compter selon un critère texte</t>
  </si>
  <si>
    <t>'Ch.3 - Calculer et compter'!B203</t>
  </si>
  <si>
    <t>SOUS.TOTAL</t>
  </si>
  <si>
    <t>Calculer sur une liste filtrée et observer l’effet des lignes masquées.</t>
  </si>
  <si>
    <t>CH3-14</t>
  </si>
  <si>
    <t>Exercice 14 — Utiliser un seuil contenu dans une cellule</t>
  </si>
  <si>
    <t>'Ch.3 - Calculer et compter'!B218</t>
  </si>
  <si>
    <t>SOMMEPROD</t>
  </si>
  <si>
    <t>Multiplier puis additionner sans colonne intermédiaire, puis traiter des cas plus élaborés.</t>
  </si>
  <si>
    <t>CH3-15</t>
  </si>
  <si>
    <t>C03E10</t>
  </si>
  <si>
    <t>Exercice 15 — Compter avec deux critères</t>
  </si>
  <si>
    <t>'Ch.3 - Calculer et compter'!B234</t>
  </si>
  <si>
    <t>Synthèse — Choisir le bon calcul</t>
  </si>
  <si>
    <t>Répondre à plusieurs questions sans nom de fonction imposé ; validation sur le résultat.</t>
  </si>
  <si>
    <t>CH3-16</t>
  </si>
  <si>
    <t>C03E11</t>
  </si>
  <si>
    <t>Exercice 16 — Trouver la plus petite valeur</t>
  </si>
  <si>
    <t>'Ch.3 - Calculer et compter'!B251</t>
  </si>
  <si>
    <t>CH3-17</t>
  </si>
  <si>
    <t>C03E12</t>
  </si>
  <si>
    <t>Exercice 17 — Trouver la plus grande valeur</t>
  </si>
  <si>
    <t>'Ch.3 - Calculer et compter'!B267</t>
  </si>
  <si>
    <t>Chapitre 4 — Tester des conditions</t>
  </si>
  <si>
    <t>CH3-18</t>
  </si>
  <si>
    <t>C03E13</t>
  </si>
  <si>
    <t>Exercice 18 — Trouver un minimum selon un critère</t>
  </si>
  <si>
    <t>'Ch.3 - Calculer et compter'!B283</t>
  </si>
  <si>
    <t>Comparaisons et VRAI / FAUX</t>
  </si>
  <si>
    <t>Construire et interpréter =, &lt;&gt;, &gt;, &lt;, &gt;= et &lt;=.</t>
  </si>
  <si>
    <t>CH3-19</t>
  </si>
  <si>
    <t>C03E14</t>
  </si>
  <si>
    <t>Exercice 19 — Trouver un maximum avec deux critères</t>
  </si>
  <si>
    <t>'Ch.3 - Calculer et compter'!B300</t>
  </si>
  <si>
    <t>SI</t>
  </si>
  <si>
    <t>Construire des cas « si… alors… sinon… » avec nombres, texte ou dates.</t>
  </si>
  <si>
    <t>CH3-20</t>
  </si>
  <si>
    <t>Exercice 20 — Encadrer une série par ses deux extrêmes</t>
  </si>
  <si>
    <t>'Ch.3 - Calculer et compter'!B317</t>
  </si>
  <si>
    <t>ET</t>
  </si>
  <si>
    <t>Vérifier que plusieurs conditions sont toutes vraies.</t>
  </si>
  <si>
    <t>CH3-21</t>
  </si>
  <si>
    <t>C03E15</t>
  </si>
  <si>
    <t>Exercice 21 — Calculer un total avec SOUS.TOTAL</t>
  </si>
  <si>
    <t>'Ch.3 - Calculer et compter'!B334</t>
  </si>
  <si>
    <t>OU</t>
  </si>
  <si>
    <t>Vérifier qu’au moins une condition est vraie.</t>
  </si>
  <si>
    <t>CH3-22</t>
  </si>
  <si>
    <t>Exercice 22 — Préparer une somme qui ignore aussi les lignes masquées</t>
  </si>
  <si>
    <t>'Ch.3 - Calculer et compter'!B348</t>
  </si>
  <si>
    <t>NON</t>
  </si>
  <si>
    <t>Inverser une condition logique.</t>
  </si>
  <si>
    <t>CH3-23</t>
  </si>
  <si>
    <t>Exercice 23 — Observer la différence entre les codes 9 et 109</t>
  </si>
  <si>
    <t>'Ch.3 - Calculer et compter'!B362</t>
  </si>
  <si>
    <t>SI + ET</t>
  </si>
  <si>
    <t>Construire une décision avec plusieurs conditions simultanées.</t>
  </si>
  <si>
    <t>CH3-24</t>
  </si>
  <si>
    <t>Exercice 24 — Éviter de compter deux fois un sous-total</t>
  </si>
  <si>
    <t>'Ch.3 - Calculer et compter'!B393</t>
  </si>
  <si>
    <t>SI + OU</t>
  </si>
  <si>
    <t>Construire une décision autorisant plusieurs situations.</t>
  </si>
  <si>
    <t>CH3-25</t>
  </si>
  <si>
    <t>C03E16</t>
  </si>
  <si>
    <t>Exercice 25 — Multiplier puis additionner sans colonne intermédiaire</t>
  </si>
  <si>
    <t>'Ch.3 - Calculer et compter'!B410</t>
  </si>
  <si>
    <t>SI imbriqués</t>
  </si>
  <si>
    <t>Obtenir plus de deux résultats possibles.</t>
  </si>
  <si>
    <t>CH3-26</t>
  </si>
  <si>
    <t>Exercice 26 — Ajouter un critère dans SOMMEPROD</t>
  </si>
  <si>
    <t>'Ch.3 - Calculer et compter'!B423</t>
  </si>
  <si>
    <t>SI.CONDITIONS</t>
  </si>
  <si>
    <t>Traiter plusieurs cas successivement avec une écriture dédiée.</t>
  </si>
  <si>
    <t>CH3-27</t>
  </si>
  <si>
    <t>Exercice 27 — Combiner deux critères dans SOMMEPROD</t>
  </si>
  <si>
    <t>'Ch.3 - Calculer et compter'!B437</t>
  </si>
  <si>
    <t>SIERREUR</t>
  </si>
  <si>
    <t>Ajouter la gestion d’erreur après avoir validé le calcul principal.</t>
  </si>
  <si>
    <t>CH3-28</t>
  </si>
  <si>
    <t>C03E17</t>
  </si>
  <si>
    <t>Exercice 28 — Choisir quatre calculs adaptés</t>
  </si>
  <si>
    <t>'Ch.3 - Calculer et compter'!B454</t>
  </si>
  <si>
    <t>Synthèse — Construire la décision</t>
  </si>
  <si>
    <t>Partir des règles métier sans fonction imposée ; validation sur le résultat.</t>
  </si>
  <si>
    <t>CH3-29</t>
  </si>
  <si>
    <t>Exercice 29 — Comparer SOMME.SI.ENS et SOMMEPROD</t>
  </si>
  <si>
    <t>'Ch.3 - Calculer et compter'!B469</t>
  </si>
  <si>
    <t>C04E01</t>
  </si>
  <si>
    <t>Exercice 1 — Tester directement un texte</t>
  </si>
  <si>
    <t>Chapitre 5 — Manipuler et nettoyer du texte</t>
  </si>
  <si>
    <t>Exercice 2 — Tester un seuil puis recopier la formule</t>
  </si>
  <si>
    <t>GAUCHE</t>
  </si>
  <si>
    <t>Extraire le début d’un code ou d’une chaîne.</t>
  </si>
  <si>
    <t>Exercice 3 — Utiliser plusieurs opérateurs de comparaison</t>
  </si>
  <si>
    <t>DROITE</t>
  </si>
  <si>
    <t>Extraire la fin d’un code ou d’une chaîne.</t>
  </si>
  <si>
    <t>C04E02</t>
  </si>
  <si>
    <t>Exercice 4 — Choisir entre deux textes</t>
  </si>
  <si>
    <t>STXT</t>
  </si>
  <si>
    <t>Extraire une partie située au milieu.</t>
  </si>
  <si>
    <t>Exercice 5 — Renvoyer une valeur ou zéro</t>
  </si>
  <si>
    <t>NBCAR</t>
  </si>
  <si>
    <t>Mesurer une chaîne et exploiter sa longueur.</t>
  </si>
  <si>
    <t>Exercice 6 — Appliquer un calcul différent selon le montant</t>
  </si>
  <si>
    <t>TROUVE</t>
  </si>
  <si>
    <t>Localiser précisément un caractère ou un texte.</t>
  </si>
  <si>
    <t>C04E03</t>
  </si>
  <si>
    <t>Exercice 7 — Exiger deux conditions</t>
  </si>
  <si>
    <t>CHERCHE</t>
  </si>
  <si>
    <t>Localiser un texte avec un comportement différent de TROUVE.</t>
  </si>
  <si>
    <t>Exercice 8 — Exiger trois conditions</t>
  </si>
  <si>
    <t>SUPPRESPACE</t>
  </si>
  <si>
    <t>Nettoyer les espaces parasites.</t>
  </si>
  <si>
    <t>C04E04</t>
  </si>
  <si>
    <t>Exercice 9 — Accepter au moins une condition</t>
  </si>
  <si>
    <t>SUBSTITUE</t>
  </si>
  <si>
    <t>Remplacer une partie précise d’un texte.</t>
  </si>
  <si>
    <t>Exercice 10 — Tester plusieurs valeurs possibles</t>
  </si>
  <si>
    <t>&amp;</t>
  </si>
  <si>
    <t>Assembler plusieurs contenus simplement.</t>
  </si>
  <si>
    <t>C04E05</t>
  </si>
  <si>
    <t>Exercice 11 — Inverser un test logique</t>
  </si>
  <si>
    <t>CONCAT</t>
  </si>
  <si>
    <t>Assembler plusieurs contenus ou plages.</t>
  </si>
  <si>
    <t>Exercice 12 — Inverser une condition composée</t>
  </si>
  <si>
    <t>JOINDRE.TEXTE</t>
  </si>
  <si>
    <t>Assembler avec un séparateur automatique.</t>
  </si>
  <si>
    <t>C04E06</t>
  </si>
  <si>
    <t>Exercice 13 — Décider à partir de deux conditions</t>
  </si>
  <si>
    <t>TEXTE.AVANT</t>
  </si>
  <si>
    <t>Extraire ce qui précède un séparateur.</t>
  </si>
  <si>
    <t>Exercice 14 — Décider à partir de trois conditions</t>
  </si>
  <si>
    <t>TEXTE.APRES</t>
  </si>
  <si>
    <t>Extraire ce qui suit un séparateur.</t>
  </si>
  <si>
    <t>C04E07</t>
  </si>
  <si>
    <t>Exercice 15 — Déclencher une action avec plusieurs statuts</t>
  </si>
  <si>
    <t>Même résultat, plusieurs méthodes</t>
  </si>
  <si>
    <t>Produire le même résultat avec plusieurs méthodes ; validation sur le résultat.</t>
  </si>
  <si>
    <t>Exercice 16 — Déclencher une action avec deux types de conditions</t>
  </si>
  <si>
    <t>Synthèse — Nettoyer puis recomposer</t>
  </si>
  <si>
    <t>Combiner nettoyage, extraction et assemblage sans méthode imposée.</t>
  </si>
  <si>
    <t>C04E08</t>
  </si>
  <si>
    <t>Exercice 17 — Classer un montant en trois niveaux</t>
  </si>
  <si>
    <t>Exercice 18 — Vérifier l’ordre des seuils</t>
  </si>
  <si>
    <t>Chapitre 6 — Rechercher une information</t>
  </si>
  <si>
    <t>C04E09</t>
  </si>
  <si>
    <t>Exercice 19 — Reproduire un classement avec SI.CONDITIONS</t>
  </si>
  <si>
    <t>Préparer une recherche</t>
  </si>
  <si>
    <t>Identifier valeur connue, zone de recherche, zone de résultat, type de correspondance et comportement si aucun résultat.</t>
  </si>
  <si>
    <t>Exercice 20 — Classer en quatre catégories</t>
  </si>
  <si>
    <t>Correspondance exacte / approximative</t>
  </si>
  <si>
    <t>Comprendre la logique exacte et les deux sens possibles d’une correspondance approximative.</t>
  </si>
  <si>
    <t>C04E10</t>
  </si>
  <si>
    <t>Exercice 21 — Remplacer une division par zéro par un message</t>
  </si>
  <si>
    <t>RECHERCHEV</t>
  </si>
  <si>
    <t>Recherche exacte, approximative, différents index de colonnes et valeur absente.</t>
  </si>
  <si>
    <t>Exercice 22 — Utiliser un message d’erreur plus précis</t>
  </si>
  <si>
    <t>RECHERCHEH</t>
  </si>
  <si>
    <t>Appliquer la même logique à des données disposées horizontalement.</t>
  </si>
  <si>
    <t>C04E11</t>
  </si>
  <si>
    <t>Exercice 23 — Construire une décision en plusieurs couches</t>
  </si>
  <si>
    <t>EQUIV</t>
  </si>
  <si>
    <t>Trouver la position d’une valeur.</t>
  </si>
  <si>
    <t>C05E01</t>
  </si>
  <si>
    <t>Exercice 1 — Extraire les trois premiers caractères</t>
  </si>
  <si>
    <t>INDEX</t>
  </si>
  <si>
    <t>Renvoyer une valeur à partir d’une position connue.</t>
  </si>
  <si>
    <t>Exercice 2 — Omettre le nombre de caractères</t>
  </si>
  <si>
    <t>INDEX + EQUIV</t>
  </si>
  <si>
    <t>Construire les deux parties séparément puis les imbriquer.</t>
  </si>
  <si>
    <t>C05E02</t>
  </si>
  <si>
    <t>Exercice 3 — Extraire les trois derniers caractères</t>
  </si>
  <si>
    <t>RECHERCHEX</t>
  </si>
  <si>
    <t>Exercices dédiés aux modes 0, -1, 1 et 2 : exacte, palier inférieur, palier supérieur et caractères génériques.</t>
  </si>
  <si>
    <t>Exercice 4 — Extraire une extension courte</t>
  </si>
  <si>
    <t>Caractères génériques</t>
  </si>
  <si>
    <t>Utiliser * et ? dans des recherches partielles.</t>
  </si>
  <si>
    <t>C05E03</t>
  </si>
  <si>
    <t>Exercice 5 — Extraire le département d’un code</t>
  </si>
  <si>
    <t>Recherche multicritère</t>
  </si>
  <si>
    <t>Retrouver une donnée à partir de plusieurs informations connues.</t>
  </si>
  <si>
    <t>Exercice 6 — Extraire l’année au milieu d’un code</t>
  </si>
  <si>
    <t>Résoudre le même problème avec RECHERCHEV, INDEX+EQUIV et RECHERCHEX selon la version d’Excel.</t>
  </si>
  <si>
    <t>C05E04</t>
  </si>
  <si>
    <t>Exercice 7 — Compter tous les caractères d’un code</t>
  </si>
  <si>
    <t>Synthèse — Choisir la bonne recherche</t>
  </si>
  <si>
    <t>Aucun nom de fonction imposé ; validation sur le résultat et plusieurs solutions possibles au corrigé.</t>
  </si>
  <si>
    <t>Exercice 8 — Repérer un espace final invisible</t>
  </si>
  <si>
    <t>C05E05</t>
  </si>
  <si>
    <t>Exercice 9 — Localiser le premier tiret</t>
  </si>
  <si>
    <t>Chapitre 7 — Créer des résultats dynamiques</t>
  </si>
  <si>
    <t>Exercice 10 — Commencer la recherche plus loin</t>
  </si>
  <si>
    <t>Comprendre la propagation</t>
  </si>
  <si>
    <t>Prévoir l’espace occupé, identifier ce qui peut bloquer la propagation et comprendre l’utilisation d’un tableau Excel comme source.</t>
  </si>
  <si>
    <t>C05E06</t>
  </si>
  <si>
    <t>Exercice 11 — Rechercher sans tenir compte de la casse</t>
  </si>
  <si>
    <t>FILTRE</t>
  </si>
  <si>
    <t>Extraire les lignes correspondant à un ou plusieurs critères.</t>
  </si>
  <si>
    <t>C05E07</t>
  </si>
  <si>
    <t>Exercice 12 — Nettoyer des espaces inutiles</t>
  </si>
  <si>
    <t>UNIQUE</t>
  </si>
  <si>
    <t>Générer une liste sans doublons.</t>
  </si>
  <si>
    <t>C05E08</t>
  </si>
  <si>
    <t>Exercice 13 — Remplacer tous les tirets</t>
  </si>
  <si>
    <t>TRIER</t>
  </si>
  <si>
    <t>Trier automatiquement un résultat.</t>
  </si>
  <si>
    <t>Exercice 14 — Remplacer uniquement la deuxième occurrence</t>
  </si>
  <si>
    <t>TRIERPAR</t>
  </si>
  <si>
    <t>Trier selon une autre colonne ou plage.</t>
  </si>
  <si>
    <t>C05E09</t>
  </si>
  <si>
    <t>Exercice 15 — Assembler un prénom et un nom</t>
  </si>
  <si>
    <t>Le symbole #</t>
  </si>
  <si>
    <t>Réutiliser toute une plage propagée.</t>
  </si>
  <si>
    <t>Exercice 16 — Nettoyer avant d’assembler</t>
  </si>
  <si>
    <t>FILTRE + UNIQUE + TRIER</t>
  </si>
  <si>
    <t>Combiner progressivement les fonctions dynamiques.</t>
  </si>
  <si>
    <t>C05E10</t>
  </si>
  <si>
    <t>Exercice 17 — Assembler des éléments avec CONCAT</t>
  </si>
  <si>
    <t>Synthèse — Choisir, réutiliser et exploiter</t>
  </si>
  <si>
    <t>Choisir une méthode adaptée, réutiliser une plage propagée et exploiter son résultat dans un calcul.</t>
  </si>
  <si>
    <t>Exercice 18 — Assembler une plage complète</t>
  </si>
  <si>
    <t>C05E11</t>
  </si>
  <si>
    <t>Exercice 19 — Ajouter automatiquement le même séparateur</t>
  </si>
  <si>
    <t>Chapitre 8 — Construire une formule avec plusieurs fonctions</t>
  </si>
  <si>
    <t>Exercice 20 — Conserver l’emplacement d’une cellule vide</t>
  </si>
  <si>
    <t>Comprendre comment deux fonctions s’emboîtent</t>
  </si>
  <si>
    <t>Suivre l’ordre d’évaluation et comprendre comment le résultat d’une fonction alimente la suivante.</t>
  </si>
  <si>
    <t>C05E12</t>
  </si>
  <si>
    <t>Exercice 21 — Extraire ce qui précède un séparateur</t>
  </si>
  <si>
    <t>Construire une formule plus longue par étapes</t>
  </si>
  <si>
    <t>Calculer séparément les résultats intermédiaires avant de regrouper la formule.</t>
  </si>
  <si>
    <t>C05E13</t>
  </si>
  <si>
    <t>Exercice 22 — Extraire ce qui suit un séparateur</t>
  </si>
  <si>
    <t>Enchaîner des recherches et d’autres fonctions</t>
  </si>
  <si>
    <t>Réutiliser le résultat d’une recherche dans une seconde recherche, une extraction ou un assemblage.</t>
  </si>
  <si>
    <t>C05E14</t>
  </si>
  <si>
    <t>Exercice 23 — Assembler le même texte de trois façons</t>
  </si>
  <si>
    <t>Aller plus loin avec des résultats intermédiaires</t>
  </si>
  <si>
    <t>Croiser plusieurs recherches et calculs sans perdre la logique de construction.</t>
  </si>
  <si>
    <t>Exercice 24 — Comparer une extraction classique et moderne</t>
  </si>
  <si>
    <t>Fonctions texte combinées</t>
  </si>
  <si>
    <t>Réutiliser des fonctions texte déjà connues dans des combinaisons simples.</t>
  </si>
  <si>
    <t>C05E15</t>
  </si>
  <si>
    <t>Exercice 25 — Nettoyer puis recomposer sans méthode imposée</t>
  </si>
  <si>
    <t>Fonctions dynamiques combinées autrement</t>
  </si>
  <si>
    <t>Utiliser un résultat dynamique comme entrée d’une autre fonction ou comme tableau calculé intermédiaire.</t>
  </si>
  <si>
    <t>C06E01</t>
  </si>
  <si>
    <t>Exercice 1 — Identifier les cinq éléments d’une recherche</t>
  </si>
  <si>
    <t>Construire une formule avancée par étapes</t>
  </si>
  <si>
    <t>Décomposer des formules plus difficiles avant de les regrouper.</t>
  </si>
  <si>
    <t>Exercice 2 — Préparer une recherche vers la gauche</t>
  </si>
  <si>
    <t>LET — nommer et réutiliser des résultats</t>
  </si>
  <si>
    <t>Nommer des calculs ou recherches intermédiaires, puis les réutiliser pour rendre la formule plus lisible.</t>
  </si>
  <si>
    <t>C06E02</t>
  </si>
  <si>
    <t>Exercice 3 — Choisir entre exacte et approximative</t>
  </si>
  <si>
    <t>Synthèse — choisir et combiner sans formule imposée</t>
  </si>
  <si>
    <t>Choisir librement les fonctions et leur ordre pour résoudre un besoin complet.</t>
  </si>
  <si>
    <t>Exercice 4 — Identifier le palier inférieur</t>
  </si>
  <si>
    <t>C06E03</t>
  </si>
  <si>
    <t>Exercice 5 — Retrouver un prix avec une correspondance exacte</t>
  </si>
  <si>
    <t>Chapitre 9 — Pourquoi ma formule ne fonctionne pas ?</t>
  </si>
  <si>
    <t>Exercice 6 — Verrouiller le catalogue avant de recopier</t>
  </si>
  <si>
    <t>La formule s’affiche au lieu du résultat</t>
  </si>
  <si>
    <t>Trouver pourquoi Excel ne calcule pas.</t>
  </si>
  <si>
    <t>Exercice 7 — Commencer la plage par la désignation</t>
  </si>
  <si>
    <t>Excel refuse la formule</t>
  </si>
  <si>
    <t>Corriger syntaxe, séparateurs, parenthèses et guillemets.</t>
  </si>
  <si>
    <t>Exercice 8 — Utiliser RECHERCHEV sur une grille de seuils</t>
  </si>
  <si>
    <t>#NOM?</t>
  </si>
  <si>
    <t>Identifier un nom de fonction ou un élément non reconnu.</t>
  </si>
  <si>
    <t>C06E04</t>
  </si>
  <si>
    <t>Exercice 9 — Rechercher une valeur dans une ligne</t>
  </si>
  <si>
    <t>#N/A</t>
  </si>
  <si>
    <t>Diagnostiquer pourquoi une recherche ne trouve rien.</t>
  </si>
  <si>
    <t>C06E05</t>
  </si>
  <si>
    <t>Exercice 10 — Trouver la position d’un code</t>
  </si>
  <si>
    <t>#VALEUR!</t>
  </si>
  <si>
    <t>Repérer un mauvais type de donnée ou d’argument.</t>
  </si>
  <si>
    <t>Exercice 11 — Distinguer position et numéro de ligne</t>
  </si>
  <si>
    <t>#REF!</t>
  </si>
  <si>
    <t>Réparer une référence supprimée ou devenue invalide.</t>
  </si>
  <si>
    <t>C06E06</t>
  </si>
  <si>
    <t>Exercice 12 — Renvoyer une valeur à partir d’une position</t>
  </si>
  <si>
    <t>#DIV/0!</t>
  </si>
  <si>
    <t>Trouver et corriger une division impossible.</t>
  </si>
  <si>
    <t>Exercice 13 — Utiliser INDEX dans une matrice à deux dimensions</t>
  </si>
  <si>
    <t>#PROPAGATION!</t>
  </si>
  <si>
    <t>Identifier ce qui bloque un résultat dynamique.</t>
  </si>
  <si>
    <t>C06E07</t>
  </si>
  <si>
    <t>Exercice 14 — Combiner EQUIV puis INDEX</t>
  </si>
  <si>
    <t>#NOMBRE!</t>
  </si>
  <si>
    <t>Comprendre un calcul numérique impossible ou hors limites.</t>
  </si>
  <si>
    <t>Exercice 15 — Rechercher vers la gauche avec INDEX + EQUIV</t>
  </si>
  <si>
    <t>#NUL!</t>
  </si>
  <si>
    <t>Corriger une mauvaise utilisation des opérateurs de plages.</t>
  </si>
  <si>
    <t>C06E08</t>
  </si>
  <si>
    <t>Exercice 16 — Effectuer une recherche exacte par défaut</t>
  </si>
  <si>
    <t>Nombre enregistré comme texte</t>
  </si>
  <si>
    <t>Repérer puis corriger le type réel d’une donnée.</t>
  </si>
  <si>
    <t>Exercice 17 — Gérer explicitement un code absent</t>
  </si>
  <si>
    <t>Date enregistrée comme texte</t>
  </si>
  <si>
    <t>Repérer puis corriger une date stockée comme texte.</t>
  </si>
  <si>
    <t>Exercice 18 — Choisir le palier immédiatement inférieur</t>
  </si>
  <si>
    <t>Espaces invisibles</t>
  </si>
  <si>
    <t>Comprendre pourquoi deux textes apparemment identiques ne correspondent pas.</t>
  </si>
  <si>
    <t>Exercice 19 — Choisir le palier immédiatement supérieur</t>
  </si>
  <si>
    <t>Références après recopie</t>
  </si>
  <si>
    <t>Réparer les verrouillages manquants ou mal placés.</t>
  </si>
  <si>
    <t>Exercice 20 — Activer les caractères génériques avec le mode 2</t>
  </si>
  <si>
    <t>Plages de tailles différentes</t>
  </si>
  <si>
    <t>Repérer l’incohérence entre plusieurs plages utilisées ensemble.</t>
  </si>
  <si>
    <t>Exercice 21 — Rechercher vers la gauche</t>
  </si>
  <si>
    <t>Résultat faux sans message d’erreur</t>
  </si>
  <si>
    <t>Trouver une erreur de logique dans une formule pourtant valide.</t>
  </si>
  <si>
    <t>Exercice 22 — Retrouver la dernière occurrence</t>
  </si>
  <si>
    <t>Outils d’audit</t>
  </si>
  <si>
    <t>Utiliser Évaluer la formule, antécédents/dépendants et tests partiels.</t>
  </si>
  <si>
    <t>Exercice 23 — Renvoyer plusieurs colonnes avec une seule formule</t>
  </si>
  <si>
    <t>Synthèse — Diagnostiquer et réparer</t>
  </si>
  <si>
    <t>Résoudre plusieurs problèmes différents sans indice sur leur cause.</t>
  </si>
  <si>
    <t>C06E09</t>
  </si>
  <si>
    <t>Exercice 24 — Utiliser * avec RECHERCHEV</t>
  </si>
  <si>
    <t>Exercice 25 — Utiliser ? pour un caractère quelconque</t>
  </si>
  <si>
    <t>Chapitre 10 — La méthode pour devenir autonome</t>
  </si>
  <si>
    <t>Exercice 26 — Rechercher littéralement un astérisque</t>
  </si>
  <si>
    <t>C06E10</t>
  </si>
  <si>
    <t>Exercice 27 — Combiner deux critères directement</t>
  </si>
  <si>
    <t>Exercice 28 — Construire une clé visible avec une colonne d’aide</t>
  </si>
  <si>
    <t>C06E11</t>
  </si>
  <si>
    <t>Exercice 29 — Retrouver le même prix avec trois méthodes</t>
  </si>
  <si>
    <t>C06E12</t>
  </si>
  <si>
    <t>Exercice 30 — Résoudre quatre recherches sans méthode imposée</t>
  </si>
  <si>
    <t>CH7-01</t>
  </si>
  <si>
    <t>C07E01</t>
  </si>
  <si>
    <t>Exercice 1 — Distinguer la formule de son résultat propagé</t>
  </si>
  <si>
    <t>'Ch.7 - Résultats dynamiques'!B24</t>
  </si>
  <si>
    <t>Validé — chapitre 7</t>
  </si>
  <si>
    <t>CH7-02</t>
  </si>
  <si>
    <t>Exercice 2 — Identifier ce qui peut bloquer une propagation</t>
  </si>
  <si>
    <t>'Ch.7 - Résultats dynamiques'!B35</t>
  </si>
  <si>
    <t>CH7-03</t>
  </si>
  <si>
    <t>Exercice 3 — Prévoir la taille d’un résultat propagé</t>
  </si>
  <si>
    <t>'Ch.7 - Résultats dynamiques'!B47</t>
  </si>
  <si>
    <t>CH7-04</t>
  </si>
  <si>
    <t>C07E02</t>
  </si>
  <si>
    <t>Exercice 4 — Extraire toutes les lignes correspondant à un statut</t>
  </si>
  <si>
    <t>'Ch.7 - Résultats dynamiques'!B59</t>
  </si>
  <si>
    <t>CH7-05</t>
  </si>
  <si>
    <t>Exercice 5 — Filtrer une seule colonne</t>
  </si>
  <si>
    <t>'Ch.7 - Résultats dynamiques'!B84</t>
  </si>
  <si>
    <t>CH7-06</t>
  </si>
  <si>
    <t>Exercice 6 — Prévoir le cas où aucun résultat n’existe</t>
  </si>
  <si>
    <t>'Ch.7 - Résultats dynamiques'!B109</t>
  </si>
  <si>
    <t>CH7-07</t>
  </si>
  <si>
    <t>Exercice 7 — Filtrer avec deux conditions simultanées</t>
  </si>
  <si>
    <t>'Ch.7 - Résultats dynamiques'!B130</t>
  </si>
  <si>
    <t>CH7-08</t>
  </si>
  <si>
    <t>Exercice 8 — Filtrer avec une logique OU</t>
  </si>
  <si>
    <t>'Ch.7 - Résultats dynamiques'!B153</t>
  </si>
  <si>
    <t>CH7-09</t>
  </si>
  <si>
    <t>Exercice 9 — Renvoyer uniquement les montants répondant à deux critères</t>
  </si>
  <si>
    <t>'Ch.7 - Résultats dynamiques'!B179</t>
  </si>
  <si>
    <t>CH7-10</t>
  </si>
  <si>
    <t>C07E03</t>
  </si>
  <si>
    <t>Exercice 10 — Créer une liste de clients sans doublons</t>
  </si>
  <si>
    <t>'Ch.7 - Résultats dynamiques'!B203</t>
  </si>
  <si>
    <t>CH7-11</t>
  </si>
  <si>
    <t>Exercice 11 — Éliminer les doublons sur plusieurs colonnes</t>
  </si>
  <si>
    <t>'Ch.7 - Résultats dynamiques'!B227</t>
  </si>
  <si>
    <t>CH7-12</t>
  </si>
  <si>
    <t>Exercice 12 — Conserver uniquement les valeurs présentes une seule fois</t>
  </si>
  <si>
    <t>'Ch.7 - Résultats dynamiques'!B253</t>
  </si>
  <si>
    <t>CH7-13</t>
  </si>
  <si>
    <t>Exercice 13 — Comparer les colonnes avec le deuxième argument de UNIQUE</t>
  </si>
  <si>
    <t>'Ch.7 - Résultats dynamiques'!B275</t>
  </si>
  <si>
    <t>CH7-14</t>
  </si>
  <si>
    <t>C07E04</t>
  </si>
  <si>
    <t>Exercice 14 — Trier une liste par ordre alphabétique</t>
  </si>
  <si>
    <t>'Ch.7 - Résultats dynamiques'!B295</t>
  </si>
  <si>
    <t>CH7-15</t>
  </si>
  <si>
    <t>Exercice 15 — Trier des montants du plus grand au plus petit</t>
  </si>
  <si>
    <t>'Ch.7 - Résultats dynamiques'!B323</t>
  </si>
  <si>
    <t>CH7-16</t>
  </si>
  <si>
    <t>Exercice 16 — Trier un tableau entier selon la colonne Montant</t>
  </si>
  <si>
    <t>'Ch.7 - Résultats dynamiques'!B351</t>
  </si>
  <si>
    <t>CH7-17</t>
  </si>
  <si>
    <t>Exercice 17 — Trier des colonnes avec le quatrième argument de TRIER</t>
  </si>
  <si>
    <t>'Ch.7 - Résultats dynamiques'!B379</t>
  </si>
  <si>
    <t>CH7-18</t>
  </si>
  <si>
    <t>C07E05</t>
  </si>
  <si>
    <t>Exercice 18 — Afficher une colonne en la triant selon une autre</t>
  </si>
  <si>
    <t>'Ch.7 - Résultats dynamiques'!B401</t>
  </si>
  <si>
    <t>CH7-19</t>
  </si>
  <si>
    <t>Exercice 19 — Trier selon deux critères successifs</t>
  </si>
  <si>
    <t>'Ch.7 - Résultats dynamiques'!B429</t>
  </si>
  <si>
    <t>CH7-20</t>
  </si>
  <si>
    <t>Exercice 20 — Utiliser une référence structurée comme source dynamique</t>
  </si>
  <si>
    <t>'Ch.7 - Résultats dynamiques'!B459</t>
  </si>
  <si>
    <t>CH7-21</t>
  </si>
  <si>
    <t>C07E06</t>
  </si>
  <si>
    <t>Exercice 21 — Compter toute une plage propagée avec #</t>
  </si>
  <si>
    <t>'Ch.7 - Résultats dynamiques'!B485</t>
  </si>
  <si>
    <t>CH7-22</t>
  </si>
  <si>
    <t>Exercice 22 — Additionner tous les montants d’un résultat propagé</t>
  </si>
  <si>
    <t>'Ch.7 - Résultats dynamiques'!B504</t>
  </si>
  <si>
    <t>CH7-23</t>
  </si>
  <si>
    <t>Exercice 23 — Trier une plage dynamique existante avec #</t>
  </si>
  <si>
    <t>'Ch.7 - Résultats dynamiques'!B523</t>
  </si>
  <si>
    <t>CH7-24</t>
  </si>
  <si>
    <t>C07E07</t>
  </si>
  <si>
    <t>Exercice 24 — Filtrer puis supprimer les doublons</t>
  </si>
  <si>
    <t>'Ch.7 - Résultats dynamiques'!B549</t>
  </si>
  <si>
    <t>CH7-25</t>
  </si>
  <si>
    <t>Exercice 25 — Filtrer, dédoublonner puis trier</t>
  </si>
  <si>
    <t>'Ch.7 - Résultats dynamiques'!B572</t>
  </si>
  <si>
    <t>CH7-26</t>
  </si>
  <si>
    <t>Exercice 26 — Filtrer des lignes puis les classer par montant</t>
  </si>
  <si>
    <t>'Ch.7 - Résultats dynamiques'!B595</t>
  </si>
  <si>
    <t>CH7-27</t>
  </si>
  <si>
    <t>Exercice 27 — Combiner plusieurs critères avant de dédoublonner et trier</t>
  </si>
  <si>
    <t>'Ch.7 - Résultats dynamiques'!B620</t>
  </si>
  <si>
    <t>CH7-28</t>
  </si>
  <si>
    <t>C07E08</t>
  </si>
  <si>
    <t>Exercice 28 — Choisir la bonne méthode de tri</t>
  </si>
  <si>
    <t>'Ch.7 - Résultats dynamiques'!B646</t>
  </si>
  <si>
    <t>CH7-29</t>
  </si>
  <si>
    <t>Exercice 29 — Construire puis réutiliser une plage dynamique</t>
  </si>
  <si>
    <t>'Ch.7 - Résultats dynamiques'!B670</t>
  </si>
  <si>
    <t>CH7-30</t>
  </si>
  <si>
    <t>Exercice 30 — Exploiter une liste dynamique dans un calcul</t>
  </si>
  <si>
    <t>'Ch.7 - Résultats dynamiques'!B693</t>
  </si>
  <si>
    <t>CH8-01</t>
  </si>
  <si>
    <t>C08E01</t>
  </si>
  <si>
    <t>Exercice 1 — Suivre l’ordre d’évaluation d’une formule imbriquée</t>
  </si>
  <si>
    <t>'Ch.8 - Plusieurs fonctions'!B24</t>
  </si>
  <si>
    <t>Validé — chapitre 8</t>
  </si>
  <si>
    <t>CH8-02</t>
  </si>
  <si>
    <t>Exercice 2 — Nettoyer un texte avant d’en mesurer la longueur</t>
  </si>
  <si>
    <t>'Ch.8 - Plusieurs fonctions'!B45</t>
  </si>
  <si>
    <t>CH8-03</t>
  </si>
  <si>
    <t>Exercice 3 — Arrondir une moyenne calculée selon un critère</t>
  </si>
  <si>
    <t>'Ch.8 - Plusieurs fonctions'!B57</t>
  </si>
  <si>
    <t>CH8-04</t>
  </si>
  <si>
    <t>Exercice 4 — Supprimer un caractère avant de compter</t>
  </si>
  <si>
    <t>'Ch.8 - Plusieurs fonctions'!B74</t>
  </si>
  <si>
    <t>CH8-05</t>
  </si>
  <si>
    <t>C08E02</t>
  </si>
  <si>
    <t>Exercice 5 — Décider à partir de deux résultats calculés</t>
  </si>
  <si>
    <t>'Ch.8 - Plusieurs fonctions'!B88</t>
  </si>
  <si>
    <t>CH8-06</t>
  </si>
  <si>
    <t>Exercice 6 — Calculer un montant à partir d’un prix recherché</t>
  </si>
  <si>
    <t>'Ch.8 - Plusieurs fonctions'!B109</t>
  </si>
  <si>
    <t>CH8-07</t>
  </si>
  <si>
    <t>Exercice 7 — Prendre une décision à partir d’un stock recherché</t>
  </si>
  <si>
    <t>'Ch.8 - Plusieurs fonctions'!B130</t>
  </si>
  <si>
    <t>CH8-08</t>
  </si>
  <si>
    <t>Exercice 8 — Ajouter une gestion d’erreur à INDEX + EQUIV</t>
  </si>
  <si>
    <t>'Ch.8 - Plusieurs fonctions'!B150</t>
  </si>
  <si>
    <t>CH8-09</t>
  </si>
  <si>
    <t>C08E03</t>
  </si>
  <si>
    <t>Exercice 9 — Utiliser le résultat d’une recherche comme clé d’une seconde</t>
  </si>
  <si>
    <t>'Ch.8 - Plusieurs fonctions'!B174</t>
  </si>
  <si>
    <t>CH8-10</t>
  </si>
  <si>
    <t>Exercice 10 — Extraire une partie d’un texte obtenu par recherche</t>
  </si>
  <si>
    <t>'Ch.8 - Plusieurs fonctions'!B193</t>
  </si>
  <si>
    <t>CH8-11</t>
  </si>
  <si>
    <t>Exercice 11 — Assembler deux informations retrouvées séparément</t>
  </si>
  <si>
    <t>'Ch.8 - Plusieurs fonctions'!B212</t>
  </si>
  <si>
    <t>CH8-12</t>
  </si>
  <si>
    <t>C08E04</t>
  </si>
  <si>
    <t>Exercice 12 — Croiser une ligne et une colonne avec INDEX + deux EQUIV</t>
  </si>
  <si>
    <t>'Ch.8 - Plusieurs fonctions'!B235</t>
  </si>
  <si>
    <t>CH8-13</t>
  </si>
  <si>
    <t>Exercice 13 — Retrouver un taux à travers une catégorie intermédiaire</t>
  </si>
  <si>
    <t>'Ch.8 - Plusieurs fonctions'!B256</t>
  </si>
  <si>
    <t>CH8-14</t>
  </si>
  <si>
    <t>Exercice 14 — Calculer un montant net avec plusieurs résultats intermédiaires</t>
  </si>
  <si>
    <t>'Ch.8 - Plusieurs fonctions'!B275</t>
  </si>
  <si>
    <t>CH8-15</t>
  </si>
  <si>
    <t>Exercice 15 — Relier deux tableaux pour calculer le montant d’une commande</t>
  </si>
  <si>
    <t>'Ch.8 - Plusieurs fonctions'!B298</t>
  </si>
  <si>
    <t>CH8-16</t>
  </si>
  <si>
    <t>C08E05</t>
  </si>
  <si>
    <t>Exercice 16 — Nettoyer un nom puis remplacer l’espace par un tiret</t>
  </si>
  <si>
    <t>'Ch.8 - Plusieurs fonctions'!B319</t>
  </si>
  <si>
    <t>CH8-17</t>
  </si>
  <si>
    <t>Exercice 17 — Contrôler la longueur d’un code après nettoyage</t>
  </si>
  <si>
    <t>'Ch.8 - Plusieurs fonctions'!B331</t>
  </si>
  <si>
    <t>CH8-18</t>
  </si>
  <si>
    <t>C08E06</t>
  </si>
  <si>
    <t>Exercice 18 — Réunir dans une seule cellule les clients filtrés</t>
  </si>
  <si>
    <t>'Ch.8 - Plusieurs fonctions'!B345</t>
  </si>
  <si>
    <t>CH8-19</t>
  </si>
  <si>
    <t>Exercice 19 — Trouver le maximum d’un montant calculé et filtré</t>
  </si>
  <si>
    <t>'Ch.8 - Plusieurs fonctions'!B361</t>
  </si>
  <si>
    <t>CH8-20</t>
  </si>
  <si>
    <t>Exercice 20 — Récupérer une seule valeur dans un résultat filtré</t>
  </si>
  <si>
    <t>'Ch.8 - Plusieurs fonctions'!B377</t>
  </si>
  <si>
    <t>CH8-21</t>
  </si>
  <si>
    <t>C08E07</t>
  </si>
  <si>
    <t>Exercice 21 — Extraire un élément compris entre deux tirets</t>
  </si>
  <si>
    <t>'Ch.8 - Plusieurs fonctions'!B395</t>
  </si>
  <si>
    <t>CH8-22</t>
  </si>
  <si>
    <t>Exercice 22 — Retrouver le client de la plus grosse commande payée</t>
  </si>
  <si>
    <t>'Ch.8 - Plusieurs fonctions'!B412</t>
  </si>
  <si>
    <t>CH8-23</t>
  </si>
  <si>
    <t>Exercice 23 — Calculer le montant de la dernière commande d’un client</t>
  </si>
  <si>
    <t>'Ch.8 - Plusieurs fonctions'!B430</t>
  </si>
  <si>
    <t>CH8-24</t>
  </si>
  <si>
    <t>C08E08</t>
  </si>
  <si>
    <t>Exercice 24 — Nommer un calcul intermédiaire avec LET</t>
  </si>
  <si>
    <t>'Ch.8 - Plusieurs fonctions'!B454</t>
  </si>
  <si>
    <t>CH8-25</t>
  </si>
  <si>
    <t>Exercice 25 — Éviter de répéter une recherche avec LET</t>
  </si>
  <si>
    <t>'Ch.8 - Plusieurs fonctions'!B466</t>
  </si>
  <si>
    <t>CH8-26</t>
  </si>
  <si>
    <t>Exercice 26 — Nommer deux recherches avec LET</t>
  </si>
  <si>
    <t>'Ch.8 - Plusieurs fonctions'!B483</t>
  </si>
  <si>
    <t>CH8-27</t>
  </si>
  <si>
    <t>Exercice 27 — Réutiliser plusieurs fois une longue recherche avec LET</t>
  </si>
  <si>
    <t>'Ch.8 - Plusieurs fonctions'!B500</t>
  </si>
  <si>
    <t>CH8-28</t>
  </si>
  <si>
    <t>C08E09</t>
  </si>
  <si>
    <t>Exercice 28 — Vérifier le stock avant de calculer un montant</t>
  </si>
  <si>
    <t>'Ch.8 - Plusieurs fonctions'!B519</t>
  </si>
  <si>
    <t>CH8-29</t>
  </si>
  <si>
    <t>Exercice 29 — Appliquer une remise obtenue à travers deux tableaux</t>
  </si>
  <si>
    <t>'Ch.8 - Plusieurs fonctions'!B536</t>
  </si>
  <si>
    <t>CH8-30</t>
  </si>
  <si>
    <t>Exercice 30 — Construire un résultat texte à partir de plusieurs recherches</t>
  </si>
  <si>
    <t>'Ch.8 - Plusieurs fonctions'!B557</t>
  </si>
  <si>
    <t>CH9-01</t>
  </si>
  <si>
    <t>C09E01</t>
  </si>
  <si>
    <t>Exercice 1 — Diagnostiquer une formule affichée au lieu de son résultat</t>
  </si>
  <si>
    <t>'Ch.9 - Dépanner formule'!B32</t>
  </si>
  <si>
    <t>Validé — chapitre 9</t>
  </si>
  <si>
    <t>CH9-02</t>
  </si>
  <si>
    <t>Exercice 2 — Diagnostiquer une formule qui reste affichée</t>
  </si>
  <si>
    <t>'Ch.9 - Dépanner formule'!B49</t>
  </si>
  <si>
    <t>CH9-03</t>
  </si>
  <si>
    <t>C09E02</t>
  </si>
  <si>
    <t>Exercice 3 — Diagnostiquer une formule SI refusée</t>
  </si>
  <si>
    <t>'Ch.9 - Dépanner formule'!B62</t>
  </si>
  <si>
    <t>CH9-04</t>
  </si>
  <si>
    <t>Exercice 4 — Diagnostiquer une formule refusée à deux arguments</t>
  </si>
  <si>
    <t>'Ch.9 - Dépanner formule'!B79</t>
  </si>
  <si>
    <t>CH9-05</t>
  </si>
  <si>
    <t>Exercice 5 — Diagnostiquer une autre formule SI refusée</t>
  </si>
  <si>
    <t>'Ch.9 - Dépanner formule'!B92</t>
  </si>
  <si>
    <t>CH9-06</t>
  </si>
  <si>
    <t>C09E03</t>
  </si>
  <si>
    <t>Exercice 6 — #NOM? — Diagnostiquer une formule de calcul</t>
  </si>
  <si>
    <t>'Ch.9 - Dépanner formule'!B107</t>
  </si>
  <si>
    <t>CH9-07</t>
  </si>
  <si>
    <t>Exercice 7 — #NOM? — Diagnostiquer une formule utilisant un taux</t>
  </si>
  <si>
    <t>'Ch.9 - Dépanner formule'!B123</t>
  </si>
  <si>
    <t>CH9-08</t>
  </si>
  <si>
    <t>C09E04</t>
  </si>
  <si>
    <t>Exercice 8 — #N/A — Diagnostiquer une recherche</t>
  </si>
  <si>
    <t>'Ch.9 - Dépanner formule'!B139</t>
  </si>
  <si>
    <t>CH9-09</t>
  </si>
  <si>
    <t>Exercice 9 — #N/A — Rendre une recherche explicite après diagnostic</t>
  </si>
  <si>
    <t>'Ch.9 - Dépanner formule'!B153</t>
  </si>
  <si>
    <t>CH9-10</t>
  </si>
  <si>
    <t>C09E05</t>
  </si>
  <si>
    <t>Exercice 10 — #VALEUR! — Diagnostiquer un calcul</t>
  </si>
  <si>
    <t>'Ch.9 - Dépanner formule'!B168</t>
  </si>
  <si>
    <t>CH9-11</t>
  </si>
  <si>
    <t>Exercice 11 — #VALEUR! — Diagnostiquer une fonction texte</t>
  </si>
  <si>
    <t>'Ch.9 - Dépanner formule'!B179</t>
  </si>
  <si>
    <t>CH9-12</t>
  </si>
  <si>
    <t>C09E06</t>
  </si>
  <si>
    <t>Exercice 12 — #REF! — Reconstruire une formule</t>
  </si>
  <si>
    <t>'Ch.9 - Dépanner formule'!B192</t>
  </si>
  <si>
    <t>CH9-13</t>
  </si>
  <si>
    <t>C09E07</t>
  </si>
  <si>
    <t>Exercice 13 — #DIV/0! — Diagnostiquer un taux</t>
  </si>
  <si>
    <t>'Ch.9 - Dépanner formule'!B207</t>
  </si>
  <si>
    <t>CH9-14</t>
  </si>
  <si>
    <t>C09E08</t>
  </si>
  <si>
    <t>Exercice 14 — #PROPAGATION! — Diagnostiquer une plage dynamique</t>
  </si>
  <si>
    <t>'Ch.9 - Dépanner formule'!B220</t>
  </si>
  <si>
    <t>CH9-15</t>
  </si>
  <si>
    <t>Exercice 15 — #PROPAGATION! — Diagnostiquer un autre blocage</t>
  </si>
  <si>
    <t>'Ch.9 - Dépanner formule'!B232</t>
  </si>
  <si>
    <t>CH9-16</t>
  </si>
  <si>
    <t>Exercice 16 — #PROPAGATION! — Diagnostiquer un troisième blocage</t>
  </si>
  <si>
    <t>'Ch.9 - Dépanner formule'!B247</t>
  </si>
  <si>
    <t>CH9-17</t>
  </si>
  <si>
    <t>C09E09</t>
  </si>
  <si>
    <t>Exercice 17 — #NOMBRE! — Diagnostiquer un calcul numérique</t>
  </si>
  <si>
    <t>'Ch.9 - Dépanner formule'!B262</t>
  </si>
  <si>
    <t>CH9-18</t>
  </si>
  <si>
    <t>C09E10</t>
  </si>
  <si>
    <t>Exercice 18 — #NUL! — Diagnostiquer une addition de deux plages</t>
  </si>
  <si>
    <t>'Ch.9 - Dépanner formule'!B271</t>
  </si>
  <si>
    <t>CH9-19</t>
  </si>
  <si>
    <t>C09E11</t>
  </si>
  <si>
    <t>Exercice 19 — Diagnostiquer un total incomplet</t>
  </si>
  <si>
    <t>'Ch.9 - Dépanner formule'!B286</t>
  </si>
  <si>
    <t>CH9-20</t>
  </si>
  <si>
    <t>C09E12</t>
  </si>
  <si>
    <t>Exercice 20 — Diagnostiquer une date ignorée dans un calcul</t>
  </si>
  <si>
    <t>'Ch.9 - Dépanner formule'!B301</t>
  </si>
  <si>
    <t>CH9-21</t>
  </si>
  <si>
    <t>C09E13</t>
  </si>
  <si>
    <t>Exercice 21 — Diagnostiquer une recherche qui échoue malgré un code visible</t>
  </si>
  <si>
    <t>'Ch.9 - Dépanner formule'!B314</t>
  </si>
  <si>
    <t>CH9-22</t>
  </si>
  <si>
    <t>C09E14</t>
  </si>
  <si>
    <t>Exercice 22 — Diagnostiquer une formule correcte avant recopie</t>
  </si>
  <si>
    <t>'Ch.9 - Dépanner formule'!B330</t>
  </si>
  <si>
    <t>CH9-23</t>
  </si>
  <si>
    <t>C09E15</t>
  </si>
  <si>
    <t>Exercice 23 — Diagnostiquer un calcul utilisant deux plages</t>
  </si>
  <si>
    <t>'Ch.9 - Dépanner formule'!B343</t>
  </si>
  <si>
    <t>CH9-24</t>
  </si>
  <si>
    <t>C09E16</t>
  </si>
  <si>
    <t>Exercice 24 — Diagnostiquer un résultat faux sans message d’erreur</t>
  </si>
  <si>
    <t>'Ch.9 - Dépanner formule'!B358</t>
  </si>
  <si>
    <t>CH9-25</t>
  </si>
  <si>
    <t>C09E17</t>
  </si>
  <si>
    <t>Exercice 25 — Suivre les étapes d’une formule avec Évaluer la formule</t>
  </si>
  <si>
    <t>'Ch.9 - Dépanner formule'!B371</t>
  </si>
  <si>
    <t>CH9-26</t>
  </si>
  <si>
    <t>Exercice 26 — Identifier les antécédents directs d’une formule</t>
  </si>
  <si>
    <t>'Ch.9 - Dépanner formule'!B389</t>
  </si>
  <si>
    <t>CH9-27</t>
  </si>
  <si>
    <t>Exercice 27 — Identifier les dépendants d’un taux</t>
  </si>
  <si>
    <t>'Ch.9 - Dépanner formule'!B403</t>
  </si>
  <si>
    <t>CH9-28</t>
  </si>
  <si>
    <t>C09E18</t>
  </si>
  <si>
    <t>Exercice 28 — Diagnostiquer une recherche sans indice sur la cause</t>
  </si>
  <si>
    <t>'Ch.9 - Dépanner formule'!B420</t>
  </si>
  <si>
    <t>CH9-29</t>
  </si>
  <si>
    <t>Exercice 29 — Diagnostiquer un cas limite sans message d’erreur</t>
  </si>
  <si>
    <t>'Ch.9 - Dépanner formule'!B434</t>
  </si>
  <si>
    <t>CH9-30</t>
  </si>
  <si>
    <t>Exercice 30 — Défi final — Corriger trois formules différentes</t>
  </si>
  <si>
    <t>'Ch.9 - Dépanner formule'!B445</t>
  </si>
  <si>
    <t>BLOC D'EXERCICES</t>
  </si>
  <si>
    <t>TYPE D'EXERCICES</t>
  </si>
  <si>
    <t>EXERCICES — CHAPITRE 1</t>
  </si>
  <si>
    <t>EXERCICE 1 — Lire une formule sans fonction</t>
  </si>
  <si>
    <t>Débutant</t>
  </si>
  <si>
    <t>● Toutes versions</t>
  </si>
  <si>
    <t>Sans recopier la formule, lisez-la et indiquez le résultat qu’elle doit produire. Précisez également si elle contient une fonction Excel.</t>
  </si>
  <si>
    <t>Taux</t>
  </si>
  <si>
    <t>Formule à lire</t>
  </si>
  <si>
    <t>Résultat</t>
  </si>
  <si>
    <t>Fonction présente ?</t>
  </si>
  <si>
    <t>=B25*C25</t>
  </si>
  <si>
    <t>ÉTAT</t>
  </si>
  <si>
    <t>EXERCICE 2 — Lire une formule avec une fonction</t>
  </si>
  <si>
    <t>Lisez la formule sans la recopier. Indiquez le résultat obtenu, le nom de la fonction utilisée et la plage transmise à cette fonction.</t>
  </si>
  <si>
    <t>B35</t>
  </si>
  <si>
    <t>C35</t>
  </si>
  <si>
    <t>D35</t>
  </si>
  <si>
    <t>Fonction</t>
  </si>
  <si>
    <t>Plage</t>
  </si>
  <si>
    <t>=SOMME(B35:D35)</t>
  </si>
  <si>
    <t>EXERCICE 3 — Respecter l’ordre des calculs</t>
  </si>
  <si>
    <t>Sans utiliser de calculatrice, prévoyez le résultat des deux formules.</t>
  </si>
  <si>
    <t>Formule 1</t>
  </si>
  <si>
    <t>Votre résultat</t>
  </si>
  <si>
    <t>Formule 2</t>
  </si>
  <si>
    <t>=5+2*3</t>
  </si>
  <si>
    <t>=(5+2)*3</t>
  </si>
  <si>
    <t>EXERCICE 4 — Remplacer les valeurs écrites en dur par des références</t>
  </si>
  <si>
    <t>Le montant et le taux sont déjà placés dans des cellules. Dans la cellule verte, écrivez une formule qui calcule le montant correspondant au taux en utilisant les références des cellules, et non les valeurs 125 et 20 % directement.</t>
  </si>
  <si>
    <t>Votre formule</t>
  </si>
  <si>
    <t>Résultat obtenu</t>
  </si>
  <si>
    <t>EXERCICE 5 — Recopier une référence relative</t>
  </si>
  <si>
    <t>Intermédiaire</t>
  </si>
  <si>
    <t>Dans la première cellule verte de la colonne Montant, calculez Quantité × Prix unitaire avec des références relatives. Recopiez ensuite la formule vers le bas sur les deux lignes suivantes.</t>
  </si>
  <si>
    <t>Quantité</t>
  </si>
  <si>
    <t>Prix unitaire</t>
  </si>
  <si>
    <t>Clavier</t>
  </si>
  <si>
    <t>Souris</t>
  </si>
  <si>
    <t>Casque</t>
  </si>
  <si>
    <t>EXERCICE 6 — Verrouiller une référence absolue</t>
  </si>
  <si>
    <t>Le taux de commission se trouve dans une cellule unique. Dans la première cellule verte, calculez la commission sur la vente puis recopiez la formule vers le bas. Le taux doit rester fixé lors de la recopie.</t>
  </si>
  <si>
    <t>Commercial</t>
  </si>
  <si>
    <t>Ventes</t>
  </si>
  <si>
    <t>Commission</t>
  </si>
  <si>
    <t>Taux fixe</t>
  </si>
  <si>
    <t>Lina</t>
  </si>
  <si>
    <t>Marc</t>
  </si>
  <si>
    <t>Sofia</t>
  </si>
  <si>
    <t>EXERCICE 7 — Utiliser des références mixtes</t>
  </si>
  <si>
    <t>Avancé</t>
  </si>
  <si>
    <t>Complétez la petite table de multiplication avec une seule formule saisie en B96 puis recopiée vers la droite et vers le bas. La colonne des multiplicateurs de gauche doit rester fixe horizontalement ; la ligne des en-têtes doit rester fixe verticalement.</t>
  </si>
  <si>
    <t>×</t>
  </si>
  <si>
    <t>EXERCICE 8 — Lire les arguments d’une fonction</t>
  </si>
  <si>
    <t>La syntaxe étudiée dans le chapitre est ARRONDI(nombre;no_chiffres). Dans la cellule verte, utilisez ARRONDI pour conserver exactement 2 décimales du nombre fourni.</t>
  </si>
  <si>
    <t>Nombre</t>
  </si>
  <si>
    <t>Résultat attendu</t>
  </si>
  <si>
    <t>EXERCICE 9 — Lire les séparateurs et les guillemets</t>
  </si>
  <si>
    <t>Sans recopier la formule, observez sa structure. Indiquez le nombre d’arguments de la fonction, le caractère qui les sépare, puis les deux textes que la formule peut renvoyer.</t>
  </si>
  <si>
    <t>Nombre d’arguments</t>
  </si>
  <si>
    <t>Séparateur</t>
  </si>
  <si>
    <t>Texte 1</t>
  </si>
  <si>
    <t>Texte 2</t>
  </si>
  <si>
    <t>=SI(A2&gt;=10;"Oui";"Non")</t>
  </si>
  <si>
    <t>EXERCICE 10 — Distinguer texte et référence</t>
  </si>
  <si>
    <t>La cellule B132 contient un nom. Dans la cellule verte, écrivez une formule utilisant uniquement l’opérateur &amp; et du texte entre guillemets afin d’obtenir exactement : Bonjour Martin</t>
  </si>
  <si>
    <t>Nom</t>
  </si>
  <si>
    <t>Martin</t>
  </si>
  <si>
    <t>Bonjour Martin</t>
  </si>
  <si>
    <t>EXERCICE 11 — Cellule vide, zéro ou chaîne vide ?</t>
  </si>
  <si>
    <t>Les trois cellules ci-dessous peuvent sembler vides ou presque. Cliquez dessus et observez si nécessaire la barre de formule. Sous chacune, choisissez la bonne description : Cellule vide, Zéro ou Chaîne vide.</t>
  </si>
  <si>
    <t>Cas A</t>
  </si>
  <si>
    <t>Cas B</t>
  </si>
  <si>
    <t>Cas C</t>
  </si>
  <si>
    <t>Votre réponse</t>
  </si>
  <si>
    <t>EXERCICE 12 — Identifier les types de données</t>
  </si>
  <si>
    <t>Pour chacune des cinq cellules, choisissez le type de donnée qu’Excel contient réellement. Attention : deux valeurs peuvent se ressembler à l’écran sans être du même type.</t>
  </si>
  <si>
    <t>Valeur A</t>
  </si>
  <si>
    <t>Valeur B</t>
  </si>
  <si>
    <t>Valeur C</t>
  </si>
  <si>
    <t>Valeur D</t>
  </si>
  <si>
    <t>Valeur E</t>
  </si>
  <si>
    <t>125</t>
  </si>
  <si>
    <t>Paris</t>
  </si>
  <si>
    <t>EXERCICE 13 — Synthèse : décortiquer une formule</t>
  </si>
  <si>
    <t>Sans recopier la formule, analysez-la entièrement. Indiquez le résultat obtenu, le nom de la fonction, l’opérateur utilisé dans le premier argument, le premier argument complet et le second argument.</t>
  </si>
  <si>
    <t>Valeur B169</t>
  </si>
  <si>
    <t>Valeur C169</t>
  </si>
  <si>
    <t>=ARRONDI(B169*C169;2)</t>
  </si>
  <si>
    <t>Opérateur</t>
  </si>
  <si>
    <t>1er argument</t>
  </si>
  <si>
    <t>2e argument</t>
  </si>
  <si>
    <t>EXERCICES — CHAPITRE 2</t>
  </si>
  <si>
    <t>EXERCICE 1 — Décomposer un besoin précis</t>
  </si>
  <si>
    <t>Analysez cette demande : « Je veux calculer le montant total des commandes payées du client Martin. » Identifiez l’action principale, la donnée à traiter et le nombre de critères.</t>
  </si>
  <si>
    <t>Action principale</t>
  </si>
  <si>
    <t>Donnée à traiter</t>
  </si>
  <si>
    <t>Nombre de critères</t>
  </si>
  <si>
    <t>EXERCICE 2 — Transformer une demande vague</t>
  </si>
  <si>
    <t>La demande « Je veux faire une formule avec les commandes » est trop vague. Choisissez la reformulation qui décrit le mieux un résultat exploitable par Excel, puis indiquez combien de critères elle contient.</t>
  </si>
  <si>
    <t>Reformulation choisie</t>
  </si>
  <si>
    <t>Nb de critères</t>
  </si>
  <si>
    <t>EXERCICE 3 — Calculer ou compter ?</t>
  </si>
  <si>
    <t>Pour chaque demande, indiquez si le résultat recherché consiste à CALCULER une valeur ou à COMPTER des éléments.</t>
  </si>
  <si>
    <t>Nombre de commandes</t>
  </si>
  <si>
    <t>Montant total des ventes</t>
  </si>
  <si>
    <t>Moyenne des notes</t>
  </si>
  <si>
    <t>Nombre de cellules remplies</t>
  </si>
  <si>
    <t>Plus grande facture</t>
  </si>
  <si>
    <t>EXERCICE 4 — Quel calcul cherche-t-on ?</t>
  </si>
  <si>
    <t>Le résultat est numérique dans les quatre cas. Identifiez cette fois l’opération recherchée avant de penser à une fonction.</t>
  </si>
  <si>
    <t>Chiffre d’affaires total</t>
  </si>
  <si>
    <t>Panier moyen</t>
  </si>
  <si>
    <t>Plus petite facture</t>
  </si>
  <si>
    <t>Montant d’une ligne : quantité × prix</t>
  </si>
  <si>
    <t>EXERCICE 5 — Repérer la présence d’un critère</t>
  </si>
  <si>
    <t>Pour chaque demande, indiquez si toutes les lignes participent ou si la demande contient au moins un critère.</t>
  </si>
  <si>
    <t>Additionner les montants supérieurs à 500 €</t>
  </si>
  <si>
    <t>Compter les commandes du client Martin</t>
  </si>
  <si>
    <t>Additionner tous les montants</t>
  </si>
  <si>
    <t>Calculer la moyenne de toutes les notes</t>
  </si>
  <si>
    <t>Compter toutes les commandes</t>
  </si>
  <si>
    <t>EXERCICE 6 — Compter les critères</t>
  </si>
  <si>
    <t>Indiquez combien de critères sont réellement présents dans chaque demande. Ne comptez pas l’action principale comme un critère.</t>
  </si>
  <si>
    <t>Additionner les montants du client Martin</t>
  </si>
  <si>
    <t>Compter les commandes payées du client Martin</t>
  </si>
  <si>
    <t>Additionner les ventes de juillet supérieures à 500 €</t>
  </si>
  <si>
    <t>Calculer le total de toutes les ventes</t>
  </si>
  <si>
    <t>EXERCICE 7 — Classer le besoin par famille</t>
  </si>
  <si>
    <t>Associez chaque besoin à la famille de fonctions la plus logique. Ne cherchez pas encore le nom précis de la fonction.</t>
  </si>
  <si>
    <t>Total des ventes</t>
  </si>
  <si>
    <t>Combien de factures sont impayées ?</t>
  </si>
  <si>
    <t>Afficher « Retard » si l’échéance est dépassée</t>
  </si>
  <si>
    <t>Retrouver un prix à partir d’un code produit</t>
  </si>
  <si>
    <t>Extraire les 3 premiers caractères d’un code</t>
  </si>
  <si>
    <t>Créer une liste sans doublons qui se met à jour</t>
  </si>
  <si>
    <t>EXERCICE 8 — Partir du verbe avant de choisir la famille</t>
  </si>
  <si>
    <t>Pour chaque besoin, identifiez d’abord l’action principale, puis la famille de fonctions vers laquelle elle oriente.</t>
  </si>
  <si>
    <t>Besoin</t>
  </si>
  <si>
    <t>Famille</t>
  </si>
  <si>
    <t>À partir du code client, afficher sa ville</t>
  </si>
  <si>
    <t>Afficher « À commander » si le stock est inférieur à 5</t>
  </si>
  <si>
    <t>Supprimer les espaces inutiles d’un nom</t>
  </si>
  <si>
    <t>EXERCICE 9 — Choisir l’écriture la plus facile à étendre</t>
  </si>
  <si>
    <t>Les deux formules donnent le même résultat avec trois cellules. Une quatrième valeur sera bientôt ajoutée en D2. Choisissez l’écriture que vous privilégieriez pour faciliter l’évolution, puis la raison principale.</t>
  </si>
  <si>
    <t>Méthode A</t>
  </si>
  <si>
    <t>Méthode B</t>
  </si>
  <si>
    <t>Méthode privilégiée</t>
  </si>
  <si>
    <t>Raison</t>
  </si>
  <si>
    <t>=A2+B2+C2</t>
  </si>
  <si>
    <t>=SOMME(A2:C2)</t>
  </si>
  <si>
    <t>EXERCICE 10 — Deux formules peuvent être correctes</t>
  </si>
  <si>
    <t>Les deux écritures ci-dessous additionnent deux cellules. Choisissez l’affirmation la plus juste, puis le critère le plus pertinent pour départager deux solutions correctes.</t>
  </si>
  <si>
    <t>Affirmation</t>
  </si>
  <si>
    <t>Critère de choix</t>
  </si>
  <si>
    <t>=A2+B2</t>
  </si>
  <si>
    <t>=SOMME(A2:B2)</t>
  </si>
  <si>
    <t>EXERCICE 11 — Préparer une recherche avant la formule</t>
  </si>
  <si>
    <t>Vous saisissez un code produit et voulez afficher son prix depuis un catalogue. Identifiez les éléments essentiels du besoin avant de choisir une fonction.</t>
  </si>
  <si>
    <t>Valeur connue</t>
  </si>
  <si>
    <t>Information à renvoyer</t>
  </si>
  <si>
    <t>Correspondance</t>
  </si>
  <si>
    <t>Si absent</t>
  </si>
  <si>
    <t>EXERCICE 12 — Synthèse : traduire le besoin avant la formule</t>
  </si>
  <si>
    <t>Pour chaque situation, choisissez la famille de fonctions la plus logique et indiquez le nombre de critères présents. L’objectif n’est pas de trouver la formule exacte, mais de savoir ce qu’Excel devra faire.</t>
  </si>
  <si>
    <t>Afficher « À relancer » si la date d’échéance est dépassée</t>
  </si>
  <si>
    <t>Extraire les trois premiers caractères d’un code produit</t>
  </si>
  <si>
    <t>Créer une liste des clients sans doublons qui se met à jour</t>
  </si>
  <si>
    <t>SOMME / SOMME.SI / SOMME.SI.ENS</t>
  </si>
  <si>
    <t>Additionner une plage entière ou uniquement les valeurs répondant à un ou plusieurs critères.</t>
  </si>
  <si>
    <t>MOYENNE / MOYENNE.SI / MOYENNE.SI.ENS</t>
  </si>
  <si>
    <t>Calculer une moyenne globale ou selon un ou plusieurs critères.</t>
  </si>
  <si>
    <t>NB / NBVAL / NB.SI / NB.SI.ENS</t>
  </si>
  <si>
    <t>Compter les nombres, les cellules non vides ou les éléments répondant à un ou plusieurs critères.</t>
  </si>
  <si>
    <t>MIN / MAX</t>
  </si>
  <si>
    <t>Trouver la plus petite ou la plus grande valeur d’une série.</t>
  </si>
  <si>
    <t>MIN.SI.ENS / MAX.SI.ENS</t>
  </si>
  <si>
    <t>Trouver une valeur extrême respectant un ou plusieurs critères.</t>
  </si>
  <si>
    <t>EXERCICES — CHAPITRE 3</t>
  </si>
  <si>
    <t>EXERCICE 1 — Additionner une plage</t>
  </si>
  <si>
    <t>Calculez le total des cinq montants avec la fonction SOMME. Saisissez la formule dans la cellule verte située à droite.</t>
  </si>
  <si>
    <t>EXERCICE 2 — Additionner deux plages séparées</t>
  </si>
  <si>
    <t>Les ventes sont réparties dans deux zones distinctes. Utilisez une seule fonction SOMME pour additionner les deux plages sans écrire chaque cellule séparément.</t>
  </si>
  <si>
    <t>Ventes magasin</t>
  </si>
  <si>
    <t>Ventes web</t>
  </si>
  <si>
    <t>EXERCICE 3 — Additionner une colonne d’un tableau Excel</t>
  </si>
  <si>
    <t>Le tableau ci-dessous est un vrai tableau Excel nommé Ventes_C03E03. Utilisez une référence structurée pour additionner toute la colonne Montant.</t>
  </si>
  <si>
    <t>Écran</t>
  </si>
  <si>
    <t>EXERCICE 4 — Additionner selon un critère texte</t>
  </si>
  <si>
    <t>Calculez le montant total correspondant au client Martin avec SOMME.SI.</t>
  </si>
  <si>
    <t>Client</t>
  </si>
  <si>
    <t>Dupont</t>
  </si>
  <si>
    <t>Leroy</t>
  </si>
  <si>
    <t>EXERCICE 5 — Additionner les valeurs supérieures à un seuil</t>
  </si>
  <si>
    <t>Additionnez uniquement les montants strictement supérieurs à 500 € avec SOMME.SI. La plage testée est aussi la plage à additionner.</t>
  </si>
  <si>
    <t>EXERCICE 6 — Utiliser un critère contenu dans une cellule</t>
  </si>
  <si>
    <t>Le client à rechercher est indiqué dans la cellule prévue à cet effet. Utilisez cette cellule comme critère dans SOMME.SI au lieu d’écrire directement le nom dans la formule.</t>
  </si>
  <si>
    <t>Client recherché</t>
  </si>
  <si>
    <t>EXERCICE 7 — Additionner avec deux critères</t>
  </si>
  <si>
    <t>Calculez le total des commandes qui appartiennent à Martin ET dont le statut est Payée. Utilisez SOMME.SI.ENS.</t>
  </si>
  <si>
    <t>Statut</t>
  </si>
  <si>
    <t>Payée</t>
  </si>
  <si>
    <t>En attente</t>
  </si>
  <si>
    <t>EXERCICE 8 — Moyenne avec une cellule vide et un zéro</t>
  </si>
  <si>
    <t>Calculez la moyenne de la série avec MOYENNE. Une cellule est réellement vide et une autre contient 0 : observez leur effet sur le résultat.</t>
  </si>
  <si>
    <t>Valeur</t>
  </si>
  <si>
    <t>EXERCICE 9 — Calculer une moyenne selon un critère</t>
  </si>
  <si>
    <t>Calculez le montant moyen des commandes dont le statut est Payée avec MOYENNE.SI.</t>
  </si>
  <si>
    <t>Annulée</t>
  </si>
  <si>
    <t>EXERCICE 10 — Calculer une moyenne avec deux critères</t>
  </si>
  <si>
    <t>Calculez le montant moyen des commandes de Martin dont le statut est Payée avec MOYENNE.SI.ENS.</t>
  </si>
  <si>
    <t>EXERCICE 11 — Compter uniquement les cellules numériques</t>
  </si>
  <si>
    <t>Utilisez NB pour compter combien de cellules de la plage contiennent une valeur numérique. Attention : une date reconnue par Excel est aussi une valeur numérique.</t>
  </si>
  <si>
    <t>Contenu</t>
  </si>
  <si>
    <t>N/A</t>
  </si>
  <si>
    <t>EXERCICE 12 — Comparer NB et NBVAL</t>
  </si>
  <si>
    <t>La plage contient des nombres, du texte, une cellule réellement vide et une formule qui affiche une chaîne vide. Calculez d’abord NB, puis NBVAL afin de comparer les deux résultats.</t>
  </si>
  <si>
    <t>EXERCICE 13 — Compter selon un critère texte</t>
  </si>
  <si>
    <t>Comptez le nombre de commandes dont le statut est Payée avec NB.SI.</t>
  </si>
  <si>
    <t>EXERCICE 14 — Utiliser un seuil contenu dans une cellule</t>
  </si>
  <si>
    <t>Le seuil est indiqué dans la cellule prévue à cet effet. Comptez les montants supérieurs ou égaux à ce seuil avec NB.SI. Assemblez l’opérateur &gt;= avec la référence de cellule.</t>
  </si>
  <si>
    <t>Seuil</t>
  </si>
  <si>
    <t>EXERCICE 15 — Compter avec deux critères</t>
  </si>
  <si>
    <t>Comptez les commandes qui appartiennent à Martin ET dont le statut est Payée avec NB.SI.ENS.</t>
  </si>
  <si>
    <t>EXERCICE 16 — Trouver la plus petite valeur</t>
  </si>
  <si>
    <t>Utilisez MIN pour trouver le plus petit montant de la série.</t>
  </si>
  <si>
    <t>EXERCICE 17 — Trouver la plus grande valeur</t>
  </si>
  <si>
    <t>Utilisez MAX pour trouver le montant le plus élevé de la série.</t>
  </si>
  <si>
    <t>EXERCICE 18 — Trouver un minimum selon un critère</t>
  </si>
  <si>
    <t>● Excel 2019+</t>
  </si>
  <si>
    <t>Parmi les commandes dont le statut est Payée, trouvez le montant le plus faible avec MIN.SI.ENS.</t>
  </si>
  <si>
    <t>EXERCICE 19 — Trouver un maximum avec deux critères</t>
  </si>
  <si>
    <t>Trouvez le montant le plus élevé parmi les commandes de Martin dont le statut est Payée avec MAX.SI.ENS.</t>
  </si>
  <si>
    <t>MIN et MAX</t>
  </si>
  <si>
    <t>EXERCICE 20 — Encadrer une série par ses deux extrêmes</t>
  </si>
  <si>
    <t>Sur la même série de valeurs, calculez à la fois le minimum et le maximum. Utilisez MIN dans la première cellule verte et MAX dans la seconde.</t>
  </si>
  <si>
    <t>Minimum</t>
  </si>
  <si>
    <t>Maximum</t>
  </si>
  <si>
    <t>EXERCICE 21 — Calculer un total avec SOUS.TOTAL</t>
  </si>
  <si>
    <t>Utilisez SOUS.TOTAL avec le numéro de fonction 9 pour additionner les montants. Cette écriture sera ensuite capable d’ignorer automatiquement les lignes exclues par un filtre.</t>
  </si>
  <si>
    <t>EXERCICE 22 — Préparer une somme qui ignore aussi les lignes masquées</t>
  </si>
  <si>
    <t>Utilisez SOUS.TOTAL avec le code 109. Le résultat est actuellement identique au total général, mais cette version ignorera aussi les lignes que vous masquerez manuellement.</t>
  </si>
  <si>
    <t>EXERCICE 23 — Observer la différence entre les codes 9 et 109</t>
  </si>
  <si>
    <t>Le tableau ci-dessous est un vrai tableau Excel avec boutons de filtre. Les deux cellules jaunes calculent déjà le total avec SOUS.TOTAL : code 9 à gauche, code 109 à droite. Testez séparément un filtre puis un masquage manuel, et reportez les quatre résultats observés dans les cellules vertes.</t>
  </si>
  <si>
    <t>Code 9</t>
  </si>
  <si>
    <t>Code 109</t>
  </si>
  <si>
    <t>1. TEST DU FILTRE — Dans la colonne Statut, filtrez le tableau pour n’afficher que « Payée ». Relevez les résultats des codes 9 et 109 dans la première ligne verte, puis retirez complètement le filtre.
2. TEST DU MASQUAGE MANUEL — Vérifiez que toutes les lignes sont de nouveau visibles. Cliquez sur le numéro de la ligne de Leroy à gauche de la feuille, puis faites clic droit → Masquer. Relevez les deux nouveaux résultats dans la seconde ligne verte.</t>
  </si>
  <si>
    <t>Situation testée</t>
  </si>
  <si>
    <t>Filtre : Statut = Payée</t>
  </si>
  <si>
    <t>Aucun filtre + ligne Leroy masquée</t>
  </si>
  <si>
    <t>À savoir : pour comparer clairement les codes 9 et 109, les deux manipulations sont volontairement testées séparément. Dans cet exemple, si vous appliquez le filtre « Payée » puis masquez manuellement la ligne de Leroy, les deux calculs affichent 640 €.</t>
  </si>
  <si>
    <t>EXERCICE 24 — Éviter de compter deux fois un sous-total</t>
  </si>
  <si>
    <t>La cellule bleu clair B403 contient déjà un SOUS.TOTAL calculant les cinq montants situés en B398:B402. Utilisez à votre tour SOUS.TOTAL sur la plage B398:B403. Comparez votre résultat avec la cellule bleu clair : Excel doit ignorer automatiquement le sous-total déjà présent.</t>
  </si>
  <si>
    <t>EXERCICE 25 — Multiplier puis additionner sans colonne intermédiaire</t>
  </si>
  <si>
    <t>Calculez le montant total des lignes en multipliant chaque quantité par son prix unitaire puis en additionnant tous les produits. Utilisez SOMMEPROD sans créer de colonne Montant.</t>
  </si>
  <si>
    <t>EXERCICE 26 — Ajouter un critère dans SOMMEPROD</t>
  </si>
  <si>
    <t>Calculez le total Quantité × Prix unitaire uniquement pour les lignes du client Martin. Utilisez SOMMEPROD et le test Client = Martin.</t>
  </si>
  <si>
    <t>EXERCICE 27 — Combiner deux critères dans SOMMEPROD</t>
  </si>
  <si>
    <t>Calculez le total Quantité × Prix unitaire des commandes de Martin dont le statut est Payée. Les deux critères doivent être respectés sur la même ligne.</t>
  </si>
  <si>
    <t>EXERCICE 28 — Choisir quatre calculs adaptés</t>
  </si>
  <si>
    <t>À partir du même tableau, calculez : 1) le montant total des commandes payées ; 2) le nombre de commandes de Martin ; 3) le plus petit montant ; 4) le plus grand montant. Choisissez à chaque fois une fonction adaptée parmi celles du chapitre.</t>
  </si>
  <si>
    <t>Total Payée</t>
  </si>
  <si>
    <t>Nb Martin</t>
  </si>
  <si>
    <t>EXERCICE 29 — Comparer SOMME.SI.ENS et SOMMEPROD</t>
  </si>
  <si>
    <t>Le tableau contient déjà une colonne Montant. Calculez le total des commandes payées de Martin de deux façons : d’abord avec SOMME.SI.ENS sur la colonne Montant, puis avec SOMMEPROD à partir de Quantité et Prix unitaire. Les deux résultats doivent être identiques.</t>
  </si>
  <si>
    <t>EXERCICES — CHAPITRE 4</t>
  </si>
  <si>
    <t>EXERCICE 1 — Tester directement un texte</t>
  </si>
  <si>
    <t>Écrivez une comparaison directe qui renvoie VRAI si le statut est exactement « Payée » et FAUX dans le cas contraire.</t>
  </si>
  <si>
    <t>EXERCICE 2 — Tester un seuil puis recopier la formule</t>
  </si>
  <si>
    <t>Dans la première cellule verte, testez si le montant est supérieur ou égal à 500 €. Recopiez ensuite la formule vers le bas.</t>
  </si>
  <si>
    <t>Votre test</t>
  </si>
  <si>
    <t>EXERCICE 3 — Utiliser plusieurs opérateurs de comparaison</t>
  </si>
  <si>
    <t>Pour chaque ligne, écrivez le test demandé dans la cellule verte.</t>
  </si>
  <si>
    <t>Test demandé</t>
  </si>
  <si>
    <t>différent de « Annulée »</t>
  </si>
  <si>
    <t>inférieur à 500</t>
  </si>
  <si>
    <t>inférieur ou égal à 640</t>
  </si>
  <si>
    <t>EXERCICE 4 — Choisir entre deux textes</t>
  </si>
  <si>
    <t>Utilisez SI : si le statut est « Payée », affichez « Clôturée » ; sinon affichez « à suivre ». Recopiez la formule vers le bas.</t>
  </si>
  <si>
    <t>EXERCICE 5 — Renvoyer une valeur ou zéro</t>
  </si>
  <si>
    <t>Renvoyez le montant uniquement si le statut est « Payée ». Dans le cas contraire, renvoyez 0. Recopiez la formule vers le bas.</t>
  </si>
  <si>
    <t>EXERCICE 6 — Appliquer un calcul différent selon le montant</t>
  </si>
  <si>
    <t>Calculez une commission de 5 % lorsque le montant est supérieur ou égal à 500 €, et de 2 % dans le cas contraire.</t>
  </si>
  <si>
    <t>EXERCICE 7 — Exiger deux conditions</t>
  </si>
  <si>
    <t>Utilisez ET pour vérifier que la commande est à la fois « Payée » et d’un montant supérieur ou égal à 500 €. Recopiez la formule.</t>
  </si>
  <si>
    <t>Résultat ET</t>
  </si>
  <si>
    <t>EXERCICE 8 — Exiger trois conditions</t>
  </si>
  <si>
    <t>Utilisez ET pour vérifier simultanément : statut « Payée », montant supérieur ou égal à 500 € et quantité supérieure ou égale à 5.</t>
  </si>
  <si>
    <t>EXERCICE 9 — Accepter au moins une condition</t>
  </si>
  <si>
    <t>Utilisez OU : le résultat doit être VRAI si la commande est « Payée » ou si son montant est supérieur ou égal à 500 €.</t>
  </si>
  <si>
    <t>Résultat OU</t>
  </si>
  <si>
    <t>EXERCICE 10 — Tester plusieurs valeurs possibles</t>
  </si>
  <si>
    <t>Utilisez OU pour repérer les commandes à surveiller : VRAI si le statut est « En attente » ou « Annulée ».</t>
  </si>
  <si>
    <t>À surveiller ?</t>
  </si>
  <si>
    <t>Expédiée</t>
  </si>
  <si>
    <t>EXERCICE 11 — Inverser un test logique</t>
  </si>
  <si>
    <t>Utilisez NON pour obtenir VRAI lorsque la commande n’est pas « Payée ». Recopiez la formule vers le bas.</t>
  </si>
  <si>
    <t>Résultat NON</t>
  </si>
  <si>
    <t>EXERCICE 12 — Inverser une condition composée</t>
  </si>
  <si>
    <t>Utilisez NON avec OU pour obtenir VRAI uniquement si le statut n’est ni « Payée » ni « Annulée ».</t>
  </si>
  <si>
    <t>EXERCICE 13 — Décider à partir de deux conditions</t>
  </si>
  <si>
    <t>Affichez « Prioritaire » si la commande est « Payée » et si son montant est supérieur ou égal à 500 €. Sinon affichez « Standard ».</t>
  </si>
  <si>
    <t>Décision</t>
  </si>
  <si>
    <t>EXERCICE 14 — Décider à partir de trois conditions</t>
  </si>
  <si>
    <t>Affichez « Contrôle » si la commande est « Payée », si son montant est supérieur ou égal à 500 € et si la quantité est au moins égale à 5. Sinon affichez « Standard ».</t>
  </si>
  <si>
    <t>EXERCICE 15 — Déclencher une action avec plusieurs statuts</t>
  </si>
  <si>
    <t>Affichez « Contrôle requis » si le statut est « En attente » ou « Annulée ». Sinon affichez « Aucune action ».</t>
  </si>
  <si>
    <t>EXERCICE 16 — Déclencher une action avec deux types de conditions</t>
  </si>
  <si>
    <t>Affichez « Surveillance » si la commande est « En attente » ou si son montant est supérieur ou égal à 800 €. Sinon affichez « Normal ».</t>
  </si>
  <si>
    <t>EXERCICE 17 — Classer un montant en trois niveaux</t>
  </si>
  <si>
    <t>Classez chaque montant : « élevé » à partir de 700 €, « moyen » à partir de 300 €, sinon « faible ». Utilisez des SI imbriqués.</t>
  </si>
  <si>
    <t>Niveau</t>
  </si>
  <si>
    <t>EXERCICE 18 — Vérifier l’ordre des seuils</t>
  </si>
  <si>
    <t>Classez chaque montant : « élevé » à partir de 700 €, « moyen » à partir de 300 €, sinon « faible ». Utilisez des SI imbriqués et vérifiez l’ordre des seuils.</t>
  </si>
  <si>
    <t>EXERCICE 19 — Reproduire un classement avec SI.CONDITIONS</t>
  </si>
  <si>
    <t>Avec SI.CONDITIONS, classez chaque montant : « élevé » à partir de 700 €, « moyen » à partir de 300 €, sinon « faible ». Utilisez VRAI comme dernier test.</t>
  </si>
  <si>
    <t>EXERCICE 20 — Classer en quatre catégories</t>
  </si>
  <si>
    <t>Avec SI.CONDITIONS, classez les montants : « Très élevé » à partir de 1 000 €, « élevé » à partir de 700 €, « moyen » à partir de 300 €, sinon « faible ».</t>
  </si>
  <si>
    <t>EXERCICE 21 — Remplacer une division par zéro par un message</t>
  </si>
  <si>
    <t>Calculez Montant ÷ Quantité. Encadrez le calcul avec SIERREUR afin d’afficher « Calcul impossible » lorsqu’Excel rencontre une erreur.</t>
  </si>
  <si>
    <t>EXERCICE 22 — Utiliser un message d’erreur plus précis</t>
  </si>
  <si>
    <t>Calculez Prix total ÷ Quantité. Si une erreur survient, affichez « Quantité manquante ou nulle ».</t>
  </si>
  <si>
    <t>Prix total</t>
  </si>
  <si>
    <t>EXERCICE 23 — Construire une décision en plusieurs couches</t>
  </si>
  <si>
    <t>Affichez « Contrôle » si la commande est « Payée » ET si le montant est supérieur ou égal à 500 € OU la quantité supérieure ou égale à 5. Sinon affichez « Standard ». Utilisez SI, ET et OU.</t>
  </si>
  <si>
    <t>EXERCICES — CHAPITRE 5</t>
  </si>
  <si>
    <t>EXERCICE 1 — Extraire les trois premiers caractères</t>
  </si>
  <si>
    <t>À partir du code ci-dessous, utilisez GAUCHE pour extraire les trois premiers caractères.</t>
  </si>
  <si>
    <t>Code</t>
  </si>
  <si>
    <t>CMD-2026-001</t>
  </si>
  <si>
    <t>EXERCICE 2 — Omettre le nombre de caractères</t>
  </si>
  <si>
    <t>Utilisez GAUCHE sans indiquer le nombre de caractères. Observez ce que la fonction renvoie par défaut.</t>
  </si>
  <si>
    <t>A-2026</t>
  </si>
  <si>
    <t>EXERCICE 3 — Extraire les trois derniers caractères</t>
  </si>
  <si>
    <t>Utilisez DROITE pour extraire les trois derniers caractères du code.</t>
  </si>
  <si>
    <t>EXERCICE 4 — Extraire une extension courte</t>
  </si>
  <si>
    <t>Utilisez DROITE pour extraire les deux derniers caractères du domaine.</t>
  </si>
  <si>
    <t>Domaine</t>
  </si>
  <si>
    <t>exemple.fr</t>
  </si>
  <si>
    <t>EXERCICE 5 — Extraire le département d’un code</t>
  </si>
  <si>
    <t>Dans le code FR-75-PARIS, le département commence au quatrième caractère et occupe deux positions. Utilisez STXT pour l’extraire.</t>
  </si>
  <si>
    <t>FR-75-PARIS</t>
  </si>
  <si>
    <t>EXERCICE 6 — Extraire l’année au milieu d’un code</t>
  </si>
  <si>
    <t>Dans le code CMD-2026-001, utilisez STXT pour extraire uniquement l’année 2026.</t>
  </si>
  <si>
    <t>EXERCICE 7 — Compter tous les caractères d’un code</t>
  </si>
  <si>
    <t>Utilisez NBCAR pour compter le nombre total de caractères du code, tirets compris.</t>
  </si>
  <si>
    <t>Nombre de caractères</t>
  </si>
  <si>
    <t>EXERCICE 8 — Repérer un espace final invisible</t>
  </si>
  <si>
    <t>La cellule contient le texte « Martin » suivi d’un espace final. Utilisez NBCAR pour révéler la différence. Représentation pédagogique : Martin␠</t>
  </si>
  <si>
    <t>Valeur dans la cellule</t>
  </si>
  <si>
    <t>EXERCICE 9 — Localiser le premier tiret</t>
  </si>
  <si>
    <t>Utilisez TROUVE pour obtenir la position du premier tiret dans le code FR-75-PARIS.</t>
  </si>
  <si>
    <t>Position</t>
  </si>
  <si>
    <t>EXERCICE 10 — Commencer la recherche plus loin</t>
  </si>
  <si>
    <t>Utilisez le troisième argument de TROUVE pour commencer la recherche au quatrième caractère et obtenir la position du second tiret.</t>
  </si>
  <si>
    <t>EXERCICE 11 — Rechercher sans tenir compte de la casse</t>
  </si>
  <si>
    <t>Le texte contient PARIS en majuscules. Utilisez CHERCHE avec le texte recherché « paris » en minuscules pour obtenir sa position.</t>
  </si>
  <si>
    <t>EXERCICE 12 — Nettoyer des espaces inutiles</t>
  </si>
  <si>
    <t>La cellule contient des espaces au début, à la fin et entre les deux mots. Utilisez SUPPRESPACE pour obtenir « MARTIN Claire ». Représentation pédagogique : ␠␠MARTIN␠␠␠Claire␠␠</t>
  </si>
  <si>
    <t>Texte à nettoyer</t>
  </si>
  <si>
    <t>EXERCICE 13 — Remplacer tous les tirets</t>
  </si>
  <si>
    <t>Utilisez SUBSTITUE pour remplacer tous les tirets du code par le séparateur « / », entouré d’un espace de chaque côté.</t>
  </si>
  <si>
    <t>EXERCICE 14 — Remplacer uniquement la deuxième occurrence</t>
  </si>
  <si>
    <t>Utilisez le quatrième argument de SUBSTITUE pour remplacer uniquement le deuxième tiret par le caractère /, sans espace avant ni après. Le premier tiret doit rester inchangé.</t>
  </si>
  <si>
    <t>EXERCICE 15 — Assembler un prénom et un nom</t>
  </si>
  <si>
    <t>Assemblez le prénom et le nom avec l’opérateur &amp;. Ajoutez un espace entre les deux contenus.</t>
  </si>
  <si>
    <t>Prénom</t>
  </si>
  <si>
    <t>Claire</t>
  </si>
  <si>
    <t>EXERCICE 16 — Nettoyer avant d’assembler</t>
  </si>
  <si>
    <t>Le nom contient des espaces inutiles. Nettoyez-le avec SUPPRESPACE puis assemblez-le avec l’adresse e-mail en utilisant « - » comme séparateur.</t>
  </si>
  <si>
    <t>Nom à nettoyer</t>
  </si>
  <si>
    <t>E-mail</t>
  </si>
  <si>
    <t>claire.martin@exemple.fr</t>
  </si>
  <si>
    <t>EXERCICE 17 — Assembler des éléments avec CONCAT</t>
  </si>
  <si>
    <t>Utilisez CONCAT pour assembler le numéro de commande et son statut avec le séparateur « - ».</t>
  </si>
  <si>
    <t>Commande</t>
  </si>
  <si>
    <t>CMD-001</t>
  </si>
  <si>
    <t>EXERCICE 18 — Assembler une plage complète</t>
  </si>
  <si>
    <t>Utilisez CONCAT sur toute la plage B à D pour reconstruire le code complet. N’ajoutez aucun séparateur dans la formule : ils sont déjà présents dans les cellules.</t>
  </si>
  <si>
    <t>Élément 1</t>
  </si>
  <si>
    <t>Élément 2</t>
  </si>
  <si>
    <t>Élément 3</t>
  </si>
  <si>
    <t>FR-</t>
  </si>
  <si>
    <t>75-</t>
  </si>
  <si>
    <t>PARIS</t>
  </si>
  <si>
    <t>EXERCICE 19 — Ajouter automatiquement le même séparateur</t>
  </si>
  <si>
    <t>Utilisez JOINDRE.TEXTE avec le séparateur « | » entouré d’espaces. Ignorez la cellule vide afin qu’aucun séparateur inutile ne soit ajouté.</t>
  </si>
  <si>
    <t>Valeur 1</t>
  </si>
  <si>
    <t>Valeur 2</t>
  </si>
  <si>
    <t>Valeur 3</t>
  </si>
  <si>
    <t>Valeur 4</t>
  </si>
  <si>
    <t>Lyon</t>
  </si>
  <si>
    <t>EXERCICE 20 — Conserver l’emplacement d’une cellule vide</t>
  </si>
  <si>
    <t>Utilisez JOINDRE.TEXTE sur les quatre valeurs avec le séparateur « | », mais cette fois utilisez FAUX pour ne pas ignorer la cellule vide. Observez l’emplacement conservé.</t>
  </si>
  <si>
    <t>EXERCICE 21 — Extraire ce qui précède un séparateur</t>
  </si>
  <si>
    <t>● Excel 2024+</t>
  </si>
  <si>
    <t>Utilisez TEXTE.AVANT pour extraire toute la partie située avant le symbole @ dans l’adresse e-mail.</t>
  </si>
  <si>
    <t>EXERCICE 22 — Extraire ce qui suit un séparateur</t>
  </si>
  <si>
    <t>Utilisez TEXTE.APRES pour extraire toute la partie située après le symbole @ dans l’adresse e-mail.</t>
  </si>
  <si>
    <t>EXERCICE 23 — Assembler le même texte de trois façons</t>
  </si>
  <si>
    <t>Produisez exactement « Claire Martin » avec trois méthodes imposées : l’opérateur &amp;, CONCAT puis JOINDRE.TEXTE. Saisissez une formule dans chacune des trois cellules vertes.</t>
  </si>
  <si>
    <t>Avec &amp;</t>
  </si>
  <si>
    <t>Avec CONCAT</t>
  </si>
  <si>
    <t>Avec JOINDRE.TEXTE</t>
  </si>
  <si>
    <t>EXERCICE 24 — Comparer une extraction classique et moderne</t>
  </si>
  <si>
    <t>Extrayez « claire.martin » de deux façons : d’abord avec GAUCHE + TROUVE, puis avec TEXTE.AVANT. Les deux cellules doivent produire le même résultat.</t>
  </si>
  <si>
    <t>GAUCHE + TROUVE</t>
  </si>
  <si>
    <t>EXERCICE 25 — Nettoyer puis recomposer sans méthode imposée</t>
  </si>
  <si>
    <t>Obtenez exactement « MARTIN Claire | FR / 75 / PARIS ». Le nom contient des espaces inutiles et le code utilise des tirets. Choisissez vous-même la méthode parmi les fonctions déjà étudiées dans ce chapitre.</t>
  </si>
  <si>
    <t>EXERCICES — CHAPITRE 6</t>
  </si>
  <si>
    <t>EXERCICE 1 — Identifier les cinq éléments d’une recherche</t>
  </si>
  <si>
    <t>On veut rechercher le code indiqué dans la cellule de paramètre et renvoyer son prix. Indiquez la valeur recherchée, la zone de recherche, la zone de résultat, le type de correspondance et le texte « Code inconnu » à afficher si le code est absent.</t>
  </si>
  <si>
    <t>Code produit</t>
  </si>
  <si>
    <t>Désignation</t>
  </si>
  <si>
    <t>Catégorie</t>
  </si>
  <si>
    <t>Stock</t>
  </si>
  <si>
    <t>P-101</t>
  </si>
  <si>
    <t>Clavier compact</t>
  </si>
  <si>
    <t>Périphériques</t>
  </si>
  <si>
    <t>P-102</t>
  </si>
  <si>
    <t>Souris sans fil</t>
  </si>
  <si>
    <t>P-103</t>
  </si>
  <si>
    <t>Support écran</t>
  </si>
  <si>
    <t>Mobilier</t>
  </si>
  <si>
    <t>P-104</t>
  </si>
  <si>
    <t>Écran 24 pouces</t>
  </si>
  <si>
    <t>Écrans</t>
  </si>
  <si>
    <t>P-105</t>
  </si>
  <si>
    <t>Casque USB</t>
  </si>
  <si>
    <t>Audio</t>
  </si>
  <si>
    <t>P-106</t>
  </si>
  <si>
    <t>Hub USB-C</t>
  </si>
  <si>
    <t>Accessoires</t>
  </si>
  <si>
    <t>Code à rechercher</t>
  </si>
  <si>
    <t>Valeur recherchée</t>
  </si>
  <si>
    <t>Zone de recherche</t>
  </si>
  <si>
    <t>Zone de résultat</t>
  </si>
  <si>
    <t>EXERCICE 2 — Préparer une recherche vers la gauche</t>
  </si>
  <si>
    <t>On connaît une désignation et l’on veut récupérer le code produit situé à sa gauche dans le catalogue. Identifiez les cinq éléments de la recherche sans choisir encore de fonction. Si la désignation est absente, le texte prévu doit être « Produit inconnu ».</t>
  </si>
  <si>
    <t>Désignation recherchée</t>
  </si>
  <si>
    <t>EXERCICE 3 — Choisir entre exacte et approximative</t>
  </si>
  <si>
    <t>Pour chaque besoin, indiquez s’il faut une correspondance exacte ou approximative. Utilisez les listes déroulantes.</t>
  </si>
  <si>
    <t>Type de correspondance</t>
  </si>
  <si>
    <t>Retrouver le prix du code P-104</t>
  </si>
  <si>
    <t>Attribuer une remise à 37 unités à partir d’une grille de seuils</t>
  </si>
  <si>
    <t>Retrouver un client à partir de son numéro de dossier</t>
  </si>
  <si>
    <t>Attribuer des frais selon des paliers de poids</t>
  </si>
  <si>
    <t>EXERCICE 4 — Identifier le palier inférieur</t>
  </si>
  <si>
    <t>Une remise dépend de la quantité commandée. Pour 37 unités, indiquez le palier retenu puis la remise correspondante. La grille est triée par quantité minimale croissante.</t>
  </si>
  <si>
    <t>Quantité minimale</t>
  </si>
  <si>
    <t>Remise</t>
  </si>
  <si>
    <t>Quantité commandée</t>
  </si>
  <si>
    <t>Palier retenu</t>
  </si>
  <si>
    <t>EXERCICE 5 — Retrouver un prix avec une correspondance exacte</t>
  </si>
  <si>
    <t>Utilisez RECHERCHEV pour retrouver le prix unitaire du code indiqué. La correspondance doit être exacte.</t>
  </si>
  <si>
    <t>EXERCICE 6 — Verrouiller le catalogue avant de recopier</t>
  </si>
  <si>
    <t>Utilisez RECHERCHEV pour renvoyer le stock de chacun des trois codes. Saisissez la première formule puis recopiez-la vers le bas. Verrouillez la plage du catalogue afin qu’elle ne se décale pas.</t>
  </si>
  <si>
    <t>Stock recherché</t>
  </si>
  <si>
    <t>EXERCICE 7 — Commencer la plage par la désignation</t>
  </si>
  <si>
    <t>Utilisez RECHERCHEV pour retrouver le prix de la désignation indiquée. La plage transmise à RECHERCHEV doit commencer par la colonne Désignation.</t>
  </si>
  <si>
    <t>EXERCICE 8 — Utiliser RECHERCHEV sur une grille de seuils</t>
  </si>
  <si>
    <t>Utilisez RECHERCHEV en correspondance approximative pour renvoyer la remise correspondant à la quantité indiquée. La première colonne de la grille est déjà triée dans l’ordre croissant.</t>
  </si>
  <si>
    <t>EXERCICE 9 — Rechercher une valeur dans une ligne</t>
  </si>
  <si>
    <t>Le tableau est organisé horizontalement. Utilisez RECHERCHEH pour retrouver le chiffre d’affaires du mois indiqué, avec une correspondance exacte.</t>
  </si>
  <si>
    <t>Janvier</t>
  </si>
  <si>
    <t>Février</t>
  </si>
  <si>
    <t>Mars</t>
  </si>
  <si>
    <t>Avril</t>
  </si>
  <si>
    <t>Mois recherché</t>
  </si>
  <si>
    <t>EXERCICE 10 — Trouver la position d’un code</t>
  </si>
  <si>
    <t>Utilisez EQUIV avec une correspondance exacte pour renvoyer la position du code indiqué dans la liste.</t>
  </si>
  <si>
    <t>Code recherché</t>
  </si>
  <si>
    <t>EXERCICE 11 — Distinguer position et numéro de ligne</t>
  </si>
  <si>
    <t>Utilisez EQUIV pour trouver la position exacte de la désignation indiquée. Attention : le résultat attendu est sa position dans la plage, pas son numéro de ligne dans la feuille.</t>
  </si>
  <si>
    <t>EXERCICE 12 — Renvoyer une valeur à partir d’une position</t>
  </si>
  <si>
    <t>Utilisez INDEX pour renvoyer la valeur située à la position indiquée dans la liste des prix.</t>
  </si>
  <si>
    <t>Position à renvoyer</t>
  </si>
  <si>
    <t>EXERCICE 13 — Utiliser INDEX dans une matrice à deux dimensions</t>
  </si>
  <si>
    <t>Utilisez INDEX pour renvoyer la valeur située à la ligne 2 et à la colonne 3 de la matrice ci-dessous.</t>
  </si>
  <si>
    <t>Colonne 1</t>
  </si>
  <si>
    <t>Colonne 2</t>
  </si>
  <si>
    <t>Colonne 3</t>
  </si>
  <si>
    <t>N° de ligne</t>
  </si>
  <si>
    <t>N° de colonne</t>
  </si>
  <si>
    <t>EXERCICE 14 — Combiner EQUIV puis INDEX</t>
  </si>
  <si>
    <t>Utilisez INDEX et EQUIV dans une seule formule pour retrouver le prix du code indiqué. EQUIV doit trouver la position exacte du code, puis INDEX renvoyer le prix situé à cette position.</t>
  </si>
  <si>
    <t>EXERCICE 15 — Rechercher vers la gauche avec INDEX + EQUIV</t>
  </si>
  <si>
    <t>On connaît la désignation et l’on veut récupérer le code produit situé à sa gauche. Utilisez INDEX + EQUIV avec une correspondance exacte.</t>
  </si>
  <si>
    <t>EXERCICE 16 — Effectuer une recherche exacte par défaut</t>
  </si>
  <si>
    <t>● 2021+</t>
  </si>
  <si>
    <t>Utilisez RECHERCHEX pour retrouver le prix unitaire du code indiqué. N’indiquez pas de mode de correspondance : la recherche exacte doit fonctionner avec le comportement par défaut.</t>
  </si>
  <si>
    <t>EXERCICE 17 — Gérer explicitement un code absent</t>
  </si>
  <si>
    <t>Utilisez RECHERCHEX pour retrouver le prix unitaire du code indiqué, avec le mode de correspondance 0. Si le code n’existe pas dans le catalogue, la formule doit afficher exactement « Code inconnu ».</t>
  </si>
  <si>
    <t>P-999</t>
  </si>
  <si>
    <t>EXERCICE 18 — Choisir le palier immédiatement inférieur</t>
  </si>
  <si>
    <t>Une remise dépend de la quantité commandée. Utilisez RECHERCHEX avec le mode de correspondance -1 pour obtenir le palier exact ou immédiatement inférieur. Si aucun palier ne convient, affichez « Hors barème ».</t>
  </si>
  <si>
    <t>EXERCICE 19 — Choisir le palier immédiatement supérieur</t>
  </si>
  <si>
    <t>Les frais dépendent du poids maximal accepté par chaque tranche. Utilisez RECHERCHEX avec le mode de correspondance 1 pour retenir la valeur exacte ou immédiatement supérieure. Au-delà du dernier palier, affichez « Hors barème ».</t>
  </si>
  <si>
    <t>Poids maximal (kg)</t>
  </si>
  <si>
    <t>Frais</t>
  </si>
  <si>
    <t>Poids du colis (kg)</t>
  </si>
  <si>
    <t>EXERCICE 20 — Activer les caractères génériques avec le mode 2</t>
  </si>
  <si>
    <t>Utilisez RECHERCHEX avec le mode de correspondance 2 pour rechercher la désignation correspondant au motif indiqué et renvoyer son code produit. Si aucune désignation ne correspond, affichez « Aucun produit ».</t>
  </si>
  <si>
    <t>P-201</t>
  </si>
  <si>
    <t>Clavier mécanique</t>
  </si>
  <si>
    <t>P-202</t>
  </si>
  <si>
    <t>Station USB-C</t>
  </si>
  <si>
    <t>P-203</t>
  </si>
  <si>
    <t>Souris verticale</t>
  </si>
  <si>
    <t>P-204</t>
  </si>
  <si>
    <t>Écran 27 pouces</t>
  </si>
  <si>
    <t>P-205</t>
  </si>
  <si>
    <t>Casque Bluetooth</t>
  </si>
  <si>
    <t>Motif recherché</t>
  </si>
  <si>
    <t>*USB-C*</t>
  </si>
  <si>
    <t>EXERCICE 21 — Rechercher vers la gauche</t>
  </si>
  <si>
    <t>On connaît la désignation et l’on veut récupérer le code produit situé à sa gauche. Utilisez RECHERCHEX. Si la désignation est absente, affichez « Produit inconnu ».</t>
  </si>
  <si>
    <t>EXERCICE 22 — Retrouver la dernière occurrence</t>
  </si>
  <si>
    <t>Le tableau est classé par date croissante. Utilisez RECHERCHEX pour retrouver le dernier prix enregistré pour le code indiqué, en recherchant depuis le bas. Si le code est absent, affichez « Code inconnu ».</t>
  </si>
  <si>
    <t>Date</t>
  </si>
  <si>
    <t>Prix enregistré</t>
  </si>
  <si>
    <t>01/08/2026</t>
  </si>
  <si>
    <t>03/08/2026</t>
  </si>
  <si>
    <t>08/08/2026</t>
  </si>
  <si>
    <t>10/08/2026</t>
  </si>
  <si>
    <t>15/08/2026</t>
  </si>
  <si>
    <t>17/08/2026</t>
  </si>
  <si>
    <t>EXERCICE 23 — Renvoyer plusieurs colonnes avec une seule formule</t>
  </si>
  <si>
    <t>Saisissez une seule formule dans la première cellule verte pour renvoyer automatiquement la désignation, la catégorie, le prix et le stock du code indiqué. Si le code est absent, affichez « Code inconnu ».</t>
  </si>
  <si>
    <t>Résultats</t>
  </si>
  <si>
    <t>CARACTÈRES GÉNÉRIQUES</t>
  </si>
  <si>
    <t>EXERCICE 24 — Utiliser * avec RECHERCHEV</t>
  </si>
  <si>
    <t>Utilisez RECHERCHEV et le caractère générique * pour retrouver le prix de la désignation correspondant au motif indiqué. La désignation doit être la première colonne de la plage sélectionnée.</t>
  </si>
  <si>
    <t>EXERCICE 25 — Utiliser ? pour un caractère quelconque</t>
  </si>
  <si>
    <t>Le caractère ? représente exactement un caractère quelconque. Utilisez RECHERCHEV pour retrouver la désignation correspondant au motif indiqué.</t>
  </si>
  <si>
    <t>MX-101</t>
  </si>
  <si>
    <t>MX-102</t>
  </si>
  <si>
    <t>MX-110</t>
  </si>
  <si>
    <t>MX-120</t>
  </si>
  <si>
    <t>MX-201</t>
  </si>
  <si>
    <t>MX-11?</t>
  </si>
  <si>
    <t>EXERCICE 26 — Rechercher littéralement un astérisque</t>
  </si>
  <si>
    <t>Certaines références contiennent réellement un astérisque. Utilisez RECHERCHEX en mode 2 et le caractère ~ pour rechercher littéralement la référence « KIT*PRO ». Si elle est absente, affichez « Référence absente ».</t>
  </si>
  <si>
    <t>Référence</t>
  </si>
  <si>
    <t>Prix</t>
  </si>
  <si>
    <t>KIT*PRO</t>
  </si>
  <si>
    <t>KIT-PRO</t>
  </si>
  <si>
    <t>KIT?PRO</t>
  </si>
  <si>
    <t>KIT+PRO</t>
  </si>
  <si>
    <t>Motif à rechercher</t>
  </si>
  <si>
    <t>KIT~*PRO</t>
  </si>
  <si>
    <t>RECHERCHE MULTICRITÈRE</t>
  </si>
  <si>
    <t>EXERCICE 27 — Combiner deux critères directement</t>
  </si>
  <si>
    <t>Deux informations sont nécessaires pour identifier la bonne ligne. Utilisez RECHERCHEX avec deux tests multipliés pour retrouver le prix correspondant au produit et à la version indiqués. Si aucune ligne ne convient, affichez « Aucun résultat ».</t>
  </si>
  <si>
    <t>Version</t>
  </si>
  <si>
    <t>Adaptateur</t>
  </si>
  <si>
    <t>USB-C</t>
  </si>
  <si>
    <t>HDMI</t>
  </si>
  <si>
    <t>Hub</t>
  </si>
  <si>
    <t>USB-A</t>
  </si>
  <si>
    <t>Station</t>
  </si>
  <si>
    <t>EXERCICE 28 — Construire une clé visible avec une colonne d’aide</t>
  </si>
  <si>
    <t>Créez d’abord une clé dans la colonne verte au format Produit|Version, puis utilisez RECHERCHEX sur cette clé pour retrouver le prix demandé. Si aucune clé ne correspond, affichez « Aucun résultat ».</t>
  </si>
  <si>
    <t>Clé</t>
  </si>
  <si>
    <t>MÊME RÉSULTAT, PLUSIEURS MÉTHODES</t>
  </si>
  <si>
    <t>EXERCICE 29 — Retrouver le même prix avec trois méthodes</t>
  </si>
  <si>
    <t>Retrouvez le prix du code indiqué trois fois : une fois avec RECHERCHEV, une fois avec INDEX + EQUIV et une fois avec RECHERCHEX. Les trois résultats doivent être identiques.</t>
  </si>
  <si>
    <t>Méthode</t>
  </si>
  <si>
    <t>SYNTHÈSE — CHOISIR LA BONNE RECHERCHE</t>
  </si>
  <si>
    <t>EXERCICE 30 — Résoudre quatre recherches sans méthode imposée</t>
  </si>
  <si>
    <t>Pour chaque besoin, construisez la formule de votre choix. Aucun nom de fonction n’est imposé : la validation porte uniquement sur le résultat. Pour le code absent, le texte à afficher doit être exactement « Code inconnu ».</t>
  </si>
  <si>
    <t>Votre formule / résultat</t>
  </si>
  <si>
    <t>Prix du code P-102</t>
  </si>
  <si>
    <t>Code de la désignation « Support écran »</t>
  </si>
  <si>
    <t>Remise pour 37 unités</t>
  </si>
  <si>
    <t>Prix du code P-999 ; si absent afficher « Code inconnu »</t>
  </si>
  <si>
    <t>Prévoir l’espace occupé par une formule dynamique et identifier ce qui peut la bloquer.</t>
  </si>
  <si>
    <t>EXERCICES — CHAPITRE 7</t>
  </si>
  <si>
    <t>COMPRENDRE LA PROPAGATION</t>
  </si>
  <si>
    <t>EXERCICE 1 — Distinguer la formule de son résultat propagé</t>
  </si>
  <si>
    <t>Une formule dynamique est saisie en H2 et produit cinq valeurs qui occupent H2:H6. Complétez les trois informations demandées.</t>
  </si>
  <si>
    <t>Nombre de cellules contenant réellement la formule</t>
  </si>
  <si>
    <t>Dernière cellule occupée par le résultat</t>
  </si>
  <si>
    <t>Recopie nécessaire ?</t>
  </si>
  <si>
    <t>EXERCICE 2 — Identifier ce qui peut bloquer une propagation</t>
  </si>
  <si>
    <t>Pour chaque situation, indiquez si une formule dynamique peut se propager normalement dans la zone concernée. Choisissez « Possible » ou « Bloquée ».</t>
  </si>
  <si>
    <t>La zone de résultat est entièrement libre</t>
  </si>
  <si>
    <t>Une cellule de la zone contient déjà une valeur</t>
  </si>
  <si>
    <t>Une cellule de la zone est fusionnée</t>
  </si>
  <si>
    <t>La formule est saisie à l’intérieur d’un tableau Excel</t>
  </si>
  <si>
    <t>EXERCICE 3 — Prévoir la taille d’un résultat propagé</t>
  </si>
  <si>
    <t>Une formule dynamique saisie en D5 renvoie un résultat de 3 lignes sur 4 colonnes. Indiquez la cellule située en bas à droite de la zone propagée et le nombre total de cellules occupées.</t>
  </si>
  <si>
    <t>Cellule en bas à droite</t>
  </si>
  <si>
    <t>Nombre total de cellules occupées</t>
  </si>
  <si>
    <t>EXERCICE 4 — Extraire toutes les lignes correspondant à un statut</t>
  </si>
  <si>
    <t>Utilisez FILTRE pour renvoyer toutes les colonnes des commandes dont le statut est « Payée ». Saisissez une seule formule dans la première cellule verte ; le résultat doit se propager automatiquement.</t>
  </si>
  <si>
    <t>C-101</t>
  </si>
  <si>
    <t>C-102</t>
  </si>
  <si>
    <t>C-103</t>
  </si>
  <si>
    <t>C-104</t>
  </si>
  <si>
    <t>C-105</t>
  </si>
  <si>
    <t>C-106</t>
  </si>
  <si>
    <t>C-107</t>
  </si>
  <si>
    <t>Bernard</t>
  </si>
  <si>
    <t>C-108</t>
  </si>
  <si>
    <t>EXERCICE 5 — Filtrer une seule colonne</t>
  </si>
  <si>
    <t>Utilisez FILTRE pour renvoyer uniquement les noms des clients dont la commande est « Payée ». Une seule formule doit produire toute la liste.</t>
  </si>
  <si>
    <t>Clients payés</t>
  </si>
  <si>
    <t>EXERCICE 6 — Prévoir le cas où aucun résultat n’existe</t>
  </si>
  <si>
    <t>Utilisez FILTRE pour rechercher les commandes dont le statut est « Remboursée ». Comme aucune ligne ne correspond dans ce tableau, la formule doit afficher exactement « Aucune commande ».</t>
  </si>
  <si>
    <t>EXERCICE 7 — Filtrer avec deux conditions simultanées</t>
  </si>
  <si>
    <t>Utilisez FILTRE pour renvoyer toutes les colonnes des commandes du client « Martin » dont le statut est également « Payée ». Les deux conditions doivent être vraies sur la même ligne. Si aucune ligne ne correspond, affichez « Aucun résultat ».</t>
  </si>
  <si>
    <t>EXERCICE 8 — Filtrer avec une logique OU</t>
  </si>
  <si>
    <t>Utilisez FILTRE pour renvoyer toutes les commandes dont le client est « Martin » OU « Dupont ». Si aucune ligne ne correspond, affichez « Aucun résultat ».</t>
  </si>
  <si>
    <t>EXERCICE 9 — Renvoyer uniquement les montants répondant à deux critères</t>
  </si>
  <si>
    <t>Utilisez FILTRE pour renvoyer uniquement les montants des commandes du client « Martin » dont le statut est « Payée ». Une seule formule doit produire les deux montants.</t>
  </si>
  <si>
    <t>Montants</t>
  </si>
  <si>
    <t>EXERCICE 10 — Créer une liste de clients sans doublons</t>
  </si>
  <si>
    <t>Utilisez UNIQUE pour générer automatiquement la liste des clients distincts à partir de la colonne Client.</t>
  </si>
  <si>
    <t>Clients distincts</t>
  </si>
  <si>
    <t>EXERCICE 11 — Éliminer les doublons sur plusieurs colonnes</t>
  </si>
  <si>
    <t>Utilisez UNIQUE sur les colonnes Client et Statut afin d’obtenir chaque combinaison Client + Statut une seule fois. Une ligne n’est considérée comme doublon que si les deux valeurs sont identiques.</t>
  </si>
  <si>
    <t>EXERCICE 12 — Conserver uniquement les valeurs présentes une seule fois</t>
  </si>
  <si>
    <t>Utilisez UNIQUE et son argument « exactement_une_fois » pour n’afficher que les clients qui apparaissent une seule fois dans la colonne Client.</t>
  </si>
  <si>
    <t>Clients présents une seule fois</t>
  </si>
  <si>
    <t>EXERCICE 13 — Comparer les colonnes avec le deuxième argument de UNIQUE</t>
  </si>
  <si>
    <t>Les enregistrements ci-dessous sont organisés par colonnes. Utilisez UNIQUE pour ne conserver qu’un seul exemplaire de chaque colonne identique. Le résultat doit se propager horizontalement.</t>
  </si>
  <si>
    <t>EXERCICE 14 — Trier une liste par ordre alphabétique</t>
  </si>
  <si>
    <t>Utilisez TRIER pour classer la colonne Client par ordre alphabétique croissant. Les doublons doivent être conservés.</t>
  </si>
  <si>
    <t>Clients triés</t>
  </si>
  <si>
    <t>EXERCICE 15 — Trier des montants du plus grand au plus petit</t>
  </si>
  <si>
    <t>Utilisez TRIER pour classer les montants du plus grand au plus petit. Saisissez une seule formule et utilisez l’argument d’ordre décroissant.</t>
  </si>
  <si>
    <t>Montants triés</t>
  </si>
  <si>
    <t>EXERCICE 16 — Trier un tableau entier selon la colonne Montant</t>
  </si>
  <si>
    <t>Utilisez TRIER pour renvoyer les quatre colonnes du tableau en classant les commandes du montant le plus élevé au plus faible. Le tri doit porter sur la quatrième colonne de la plage renvoyée.</t>
  </si>
  <si>
    <t>EXERCICE 17 — Trier des colonnes avec le quatrième argument de TRIER</t>
  </si>
  <si>
    <t>Les produits sont organisés par colonnes. Utilisez TRIER pour réorganiser les colonnes du stock le plus élevé au plus faible, en conservant ensemble le produit, son stock et son prix.</t>
  </si>
  <si>
    <t>1</t>
  </si>
  <si>
    <t>2</t>
  </si>
  <si>
    <t>3</t>
  </si>
  <si>
    <t>4</t>
  </si>
  <si>
    <t>EXERCICE 18 — Afficher une colonne en la triant selon une autre</t>
  </si>
  <si>
    <t>Utilisez TRIERPAR pour afficher uniquement les clients, classés du montant de commande le plus élevé au plus faible. La colonne Montant pilote le tri mais ne doit pas apparaître dans le résultat.</t>
  </si>
  <si>
    <t>EXERCICE 19 — Trier selon deux critères successifs</t>
  </si>
  <si>
    <t>Utilisez TRIERPAR pour renvoyer les quatre colonnes du tableau. Classez d’abord les lignes par client dans l’ordre alphabétique, puis, pour un même client, par montant du plus élevé au plus faible.</t>
  </si>
  <si>
    <t>UTILISER UN TABLEAU EXCEL COMME SOURCE</t>
  </si>
  <si>
    <t>EXERCICE 20 — Utiliser une référence structurée comme source dynamique</t>
  </si>
  <si>
    <t>Le tableau Excel ci-dessous se nomme « Commandes_C07E20 ». Utilisez UNIQUE avec une référence structurée pour obtenir la liste des clients sans doublons dans la zone de résultat.</t>
  </si>
  <si>
    <t>C-201</t>
  </si>
  <si>
    <t>C-202</t>
  </si>
  <si>
    <t>C-203</t>
  </si>
  <si>
    <t>C-204</t>
  </si>
  <si>
    <t>C-205</t>
  </si>
  <si>
    <t>C-206</t>
  </si>
  <si>
    <t>C-207</t>
  </si>
  <si>
    <t>C-208</t>
  </si>
  <si>
    <t>Clients uniques</t>
  </si>
  <si>
    <t>LE SYMBOLE #</t>
  </si>
  <si>
    <t>EXERCICE 21 — Compter toute une plage propagée avec #</t>
  </si>
  <si>
    <t>Une formule dynamique est déjà présente en F489 et génère une liste alphabétique de clients sans doublons. Dans la cellule verte, utilisez NBVAL et le symbole # pour compter automatiquement toutes les valeurs de cette liste.</t>
  </si>
  <si>
    <t>Liste dynamique</t>
  </si>
  <si>
    <t>Nombre de clients</t>
  </si>
  <si>
    <t>EXERCICE 22 — Additionner tous les montants d’un résultat propagé</t>
  </si>
  <si>
    <t>Une formule dynamique déjà présente en F508 extrait les montants des commandes payées. Dans la cellule verte, utilisez SOMME et le symbole # pour additionner automatiquement tous les montants propagés.</t>
  </si>
  <si>
    <t>Montants payés</t>
  </si>
  <si>
    <t>Total des commandes payées</t>
  </si>
  <si>
    <t>EXERCICE 23 — Trier une plage dynamique existante avec #</t>
  </si>
  <si>
    <t>Une formule dynamique déjà présente en F527 renvoie les clients sans doublons dans leur ordre d’apparition. Utilisez TRIER avec le symbole # pour produire dans la zone verte une seconde liste classée par ordre alphabétique.</t>
  </si>
  <si>
    <t>Liste unique</t>
  </si>
  <si>
    <t>Liste triée</t>
  </si>
  <si>
    <t>EXERCICE 24 — Filtrer puis supprimer les doublons</t>
  </si>
  <si>
    <t>Construisez une seule formule qui renvoie les clients ayant au moins une commande « Payée », sans doublons. Conservez l’ordre de première apparition des clients dans la source.</t>
  </si>
  <si>
    <t>EXERCICE 25 — Filtrer, dédoublonner puis trier</t>
  </si>
  <si>
    <t>Construisez une seule formule qui renvoie, par ordre alphabétique et sans doublons, les clients ayant au moins une commande « Payée ».</t>
  </si>
  <si>
    <t>Clients payés triés</t>
  </si>
  <si>
    <t>EXERCICE 26 — Filtrer des lignes puis les classer par montant</t>
  </si>
  <si>
    <t>Construisez une seule formule qui renvoie toutes les colonnes des commandes « Payée », puis classe ces lignes du montant le plus élevé au plus faible.</t>
  </si>
  <si>
    <t>EXERCICE 27 — Combiner plusieurs critères avant de dédoublonner et trier</t>
  </si>
  <si>
    <t>Construisez une seule formule qui renvoie, par ordre alphabétique et sans doublons, les clients ayant une commande « Payée » d’un montant supérieur ou égal à 500 €.</t>
  </si>
  <si>
    <t>Clients concernés</t>
  </si>
  <si>
    <t>SYNTHÈSE — CHOISIR, RÉUTILISER ET EXPLOITER</t>
  </si>
  <si>
    <t>EXERCICE 28 — Choisir la bonne méthode de tri</t>
  </si>
  <si>
    <t>Affichez uniquement les noms des produits, classés du stock le plus élevé au stock le plus faible. La colonne Stock doit déterminer l’ordre, mais elle ne doit pas apparaître dans le résultat. Aucun nom de fonction n’est imposé : la validation porte sur le résultat.</t>
  </si>
  <si>
    <t>Hub USB</t>
  </si>
  <si>
    <t>Webcam</t>
  </si>
  <si>
    <t>Produits classés</t>
  </si>
  <si>
    <t>EXERCICE 29 — Construire puis réutiliser une plage dynamique</t>
  </si>
  <si>
    <t>Créez d’abord une liste dynamique, sans doublons et classée par ordre alphabétique, des clients ayant au moins une commande « Payée ». Puis, dans la seconde cellule verte, comptez automatiquement le nombre de clients de cette liste en réutilisant toute la plage propagée avec le symbole #.</t>
  </si>
  <si>
    <t>EXERCICE 30 — Exploiter une liste dynamique dans un calcul</t>
  </si>
  <si>
    <t>Créez une liste dynamique des clients sans doublons et classée par ordre alphabétique. À côté de cette liste, calculez pour chaque client le montant total de ses commandes. La formule de total doit réutiliser toute la liste propagée avec le symbole # afin que les résultats s’adaptent automatiquement si la liste change.</t>
  </si>
  <si>
    <t>Clients</t>
  </si>
  <si>
    <t>Total des commandes</t>
  </si>
  <si>
    <t>Vos formules</t>
  </si>
  <si>
    <t>EXERCICES — CHAPITRE 8</t>
  </si>
  <si>
    <t>1 — COMPRENDRE COMMENT DEUX FONCTIONS S’EMBOÎTENT</t>
  </si>
  <si>
    <t>EXERCICE 1 — Suivre l’ordre d’évaluation d’une formule imbriquée</t>
  </si>
  <si>
    <t>La formule affichée calcule d’abord une moyenne, puis arrondit ce résultat à une décimale. Sans écrire de nouvelle formule, complétez les quatre informations demandées.</t>
  </si>
  <si>
    <t>=ARRONDI(MOYENNE(B13:B17);1)</t>
  </si>
  <si>
    <t>Fonction évaluée en premier</t>
  </si>
  <si>
    <t>Résultat intermédiaire</t>
  </si>
  <si>
    <t>Fonction extérieure</t>
  </si>
  <si>
    <t>Résultat final</t>
  </si>
  <si>
    <t>EXERCICE 2 — Nettoyer un texte avant d’en mesurer la longueur</t>
  </si>
  <si>
    <t>La cellule contient 2 espaces au début, 3 entre MARTIN et Claire et 2 à la fin. Dans une seule formule, nettoyez le texte avec SUPPRESPACE puis comptez les caractères du résultat avec NBCAR.</t>
  </si>
  <si>
    <t>MARTIN   Claire</t>
  </si>
  <si>
    <t>EXERCICE 3 — Arrondir une moyenne calculée selon un critère</t>
  </si>
  <si>
    <t>Calculez avec MOYENNE.SI la moyenne des montants dont le statut est « Payée », puis arrondissez directement ce résultat à une décimale avec ARRONDI dans la même formule.</t>
  </si>
  <si>
    <t>EXERCICE 4 — Supprimer un caractère avant de compter</t>
  </si>
  <si>
    <t>Le code contient des tirets qui ne doivent pas être comptés. Dans une seule formule, utilisez SUBSTITUE pour supprimer tous les tirets, puis NBCAR pour compter le nombre de caractères restant.</t>
  </si>
  <si>
    <t>FR-75-2026</t>
  </si>
  <si>
    <t>2 — CONSTRUIRE UNE FORMULE PLUS LONGUE PAR ÉTAPES</t>
  </si>
  <si>
    <t>EXERCICE 5 — Décider à partir de deux résultats calculés</t>
  </si>
  <si>
    <t>Construisez la formule par étapes : 1) calculez le montant maximal des commandes « Payée » ; 2) comptez les commandes « Payée » ; 3) vérifiez avec ET que le maximum est supérieur ou égal à 700 € ET qu’au moins 3 commandes sont payées ; 4) utilisez SI pour afficher exactement « Priorité » si les deux conditions sont vraies, sinon « Standard » ; 5) regroupez ensuite le tout dans une seule formule.</t>
  </si>
  <si>
    <t>Étape 1 — Max. des « Payée »</t>
  </si>
  <si>
    <t>Étape 2 — Nombre de « Payée »</t>
  </si>
  <si>
    <t>Étape 3 — Les 2 seuils sont atteints ?</t>
  </si>
  <si>
    <t>Étape 4 — Décision</t>
  </si>
  <si>
    <t>Formule regroupée</t>
  </si>
  <si>
    <t>EXERCICE 6 — Calculer un montant à partir d’un prix recherché</t>
  </si>
  <si>
    <t>À partir du code produit et de la quantité indiqués, procédez en trois temps : 1) retrouvez le prix unitaire avec RECHERCHEV ; 2) calculez le montant avec ce résultat intermédiaire ; 3) regroupez la recherche et la multiplication dans une seule formule.</t>
  </si>
  <si>
    <t>Étape 1 — Prix unitaire</t>
  </si>
  <si>
    <t>Étape 2 — Montant</t>
  </si>
  <si>
    <t>EXERCICE 7 — Prendre une décision à partir d’un stock recherché</t>
  </si>
  <si>
    <t>● Alternative : toutes versions</t>
  </si>
  <si>
    <t>Construisez la formule progressivement : 1) retrouvez le stock du code indiqué avec RECHERCHEX ; 2) utilisez SI sur ce résultat intermédiaire pour afficher exactement « Commander » si le stock est inférieur à 10, sinon « Stock suffisant » ; 3) regroupez les deux fonctions. Si votre version d’Excel ne dispose pas de RECHERCHEX, vous pouvez réaliser l’exercice avec RECHERCHEV ou INDEX + EQUIV.</t>
  </si>
  <si>
    <t>Étape 1 — Stock retrouvé</t>
  </si>
  <si>
    <t>Étape 2 — Décision</t>
  </si>
  <si>
    <t>EXERCICE 8 — Ajouter une gestion d’erreur à INDEX + EQUIV</t>
  </si>
  <si>
    <t>Travaillez d’abord avec une désignation qui existe : 1) trouvez sa position avec EQUIV ; 2) utilisez cette position dans INDEX pour obtenir le code ; 3) regroupez INDEX + EQUIV. Enfin, utilisez une seconde désignation absente et entourez la formule regroupée avec SIERREUR pour afficher exactement « Produit inconnu ».</t>
  </si>
  <si>
    <t>Désignation connue</t>
  </si>
  <si>
    <t>Désignation absente</t>
  </si>
  <si>
    <t>Station d'accueil</t>
  </si>
  <si>
    <t>Étape 1 — Position</t>
  </si>
  <si>
    <t>Étape 2 — Code avec INDEX</t>
  </si>
  <si>
    <t>Étape 3 — INDEX + EQUIV</t>
  </si>
  <si>
    <t>Étape 4 — Avec SIERREUR</t>
  </si>
  <si>
    <t>3 — ENCHAÎNER DES RECHERCHES ET D’AUTRES FONCTIONS</t>
  </si>
  <si>
    <t>EXERCICE 9 — Utiliser le résultat d’une recherche comme clé d’une seconde</t>
  </si>
  <si>
    <t>À partir du numéro de commande indiqué : 1) retrouvez le code client avec RECHERCHEX ; 2) utilisez ce code intermédiaire pour retrouver le commercial dans le second tableau ; 3) remplacez enfin la référence au code intermédiaire par le premier RECHERCHEX afin d’obtenir une seule formule. Si votre version d’Excel ne dispose pas de RECHERCHEX, vous pouvez réaliser l’exercice avec RECHERCHEV ou INDEX + EQUIV.</t>
  </si>
  <si>
    <t>Code client</t>
  </si>
  <si>
    <t>CL-02</t>
  </si>
  <si>
    <t>CL-01</t>
  </si>
  <si>
    <t>Alice</t>
  </si>
  <si>
    <t>Karim</t>
  </si>
  <si>
    <t>CL-04</t>
  </si>
  <si>
    <t>CL-03</t>
  </si>
  <si>
    <t>Sophie</t>
  </si>
  <si>
    <t>Lucas</t>
  </si>
  <si>
    <t>Étape 1 — Code client</t>
  </si>
  <si>
    <t>Étape 2 — Commercial</t>
  </si>
  <si>
    <t>EXERCICE 10 — Extraire une partie d’un texte obtenu par recherche</t>
  </si>
  <si>
    <t>À partir de l’identifiant indiqué : 1) retrouvez l’adresse e-mail avec RECHERCHEX ; 2) appliquez TEXTE.AVANT au résultat intermédiaire pour conserver ce qui précède @ ; 3) regroupez les deux fonctions dans une seule formule. Si votre version ne dispose pas de RECHERCHEX ou TEXTE.AVANT, vous pouvez utiliser RECHERCHEV ou INDEX + EQUIV pour la recherche, puis GAUCHE + TROUVE pour l’extraction.</t>
  </si>
  <si>
    <t>Identifiant</t>
  </si>
  <si>
    <t>E-101</t>
  </si>
  <si>
    <t>Claire Martin</t>
  </si>
  <si>
    <t>E-102</t>
  </si>
  <si>
    <t>Lucas Bernard</t>
  </si>
  <si>
    <t>lucas.bernard@exemple.fr</t>
  </si>
  <si>
    <t>E-103</t>
  </si>
  <si>
    <t>Sophie Leroy</t>
  </si>
  <si>
    <t>sophie.leroy@exemple.fr</t>
  </si>
  <si>
    <t>E-104</t>
  </si>
  <si>
    <t>Karim Dupont</t>
  </si>
  <si>
    <t>karim.dupont@exemple.fr</t>
  </si>
  <si>
    <t>Étape 1 — E-mail</t>
  </si>
  <si>
    <t>Étape 2 — Avant @</t>
  </si>
  <si>
    <t>EXERCICE 11 — Assembler deux informations retrouvées séparément</t>
  </si>
  <si>
    <t>À partir du code indiqué : 1) retrouvez la désignation ; 2) retrouvez la catégorie ; 3) assemblez les deux résultats intermédiaires avec JOINDRE.TEXTE et le séparateur « | » entouré d’espaces ; 4) regroupez les deux recherches directement dans JOINDRE.TEXTE. Si votre version ne dispose pas de RECHERCHEX ou JOINDRE.TEXTE, vous pouvez utiliser RECHERCHEV ou INDEX + EQUIV et assembler le résultat avec &amp;.</t>
  </si>
  <si>
    <t>Étape 1 — Désignation</t>
  </si>
  <si>
    <t>Étape 2 — Catégorie</t>
  </si>
  <si>
    <t>Étape 3 — Assemblage</t>
  </si>
  <si>
    <t>4 — ALLER PLUS LOIN, TOUJOURS AVEC DES ÉTAPES</t>
  </si>
  <si>
    <t>EXERCICE 12 — Croiser une ligne et une colonne avec INDEX + deux EQUIV</t>
  </si>
  <si>
    <t>Le tableau croise des régions en lignes et des produits en colonnes. Construisez la recherche en trois étapes : 1) position de la région ; 2) position du produit ; 3) INDEX avec les deux positions. Une fois le résultat obtenu, remplacez les deux positions par leurs EQUIV dans une formule regroupée.</t>
  </si>
  <si>
    <t>Région</t>
  </si>
  <si>
    <t>Nord</t>
  </si>
  <si>
    <t>Sud</t>
  </si>
  <si>
    <t>Est</t>
  </si>
  <si>
    <t>Ouest</t>
  </si>
  <si>
    <t>Étape 1 — Position région</t>
  </si>
  <si>
    <t>Étape 2 — Position produit</t>
  </si>
  <si>
    <t>Étape 3 — Prix avec INDEX</t>
  </si>
  <si>
    <t>EXERCICE 13 — Retrouver un taux à travers une catégorie intermédiaire</t>
  </si>
  <si>
    <t>À partir du code produit : 1) retrouvez sa catégorie ; 2) utilisez cette catégorie pour retrouver le taux de remise dans le second tableau ; 3) remplacez la référence à la catégorie intermédiaire par le premier RECHERCHEX afin d’obtenir une seule formule. Si votre version d’Excel ne dispose pas de RECHERCHEX, vous pouvez réaliser l’exercice avec RECHERCHEV ou INDEX + EQUIV.</t>
  </si>
  <si>
    <t>Étape 1 — Catégorie</t>
  </si>
  <si>
    <t>Étape 2 — Remise</t>
  </si>
  <si>
    <t>EXERCICE 14 — Calculer un montant net avec plusieurs résultats intermédiaires</t>
  </si>
  <si>
    <t>Construisez le calcul progressivement : 1) recherchez le prix du produit ; 2) retrouvez sa catégorie ; 3) retrouvez le taux de remise ; 4) calculez le montant brut avec la quantité ; 5) appliquez la remise ; 6) seulement ensuite, regroupez le tout dans une seule formule. Rappel : montant net = montant brut × (1 − taux de remise). Si votre version d’Excel ne dispose pas de RECHERCHEX, vous pouvez réaliser l’exercice avec RECHERCHEV ou INDEX + EQUIV.</t>
  </si>
  <si>
    <t>Étape 1 — Prix</t>
  </si>
  <si>
    <t>Étape 3 — Remise</t>
  </si>
  <si>
    <t>Étape 4 — Montant brut</t>
  </si>
  <si>
    <t>Étape 5 — Montant net</t>
  </si>
  <si>
    <t>EXERCICE 15 — Relier deux tableaux pour calculer le montant d’une commande</t>
  </si>
  <si>
    <t>Dernier exercice du lot : à partir du numéro de commande, retrouvez d’abord son code produit et sa quantité. Utilisez ensuite le code produit pour retrouver le prix unitaire dans le catalogue. Calculez le montant, puis regroupez les recherches et le calcul dans une seule formule. Vous pouvez conserver les étapes intermédiaires tant que la formule finale n’est pas correcte. Si votre version d’Excel ne dispose pas de RECHERCHEX, vous pouvez réaliser l’exercice avec RECHERCHEV ou INDEX + EQUIV.</t>
  </si>
  <si>
    <t>C-301</t>
  </si>
  <si>
    <t>C-302</t>
  </si>
  <si>
    <t>C-303</t>
  </si>
  <si>
    <t>C-304</t>
  </si>
  <si>
    <t>Étape 1 — Code produit</t>
  </si>
  <si>
    <t>Étape 2 — Quantité</t>
  </si>
  <si>
    <t>Étape 3 — Prix unitaire</t>
  </si>
  <si>
    <t>Étape 4 — Montant</t>
  </si>
  <si>
    <t>5 — FONCTIONS TEXTE COMBINÉES</t>
  </si>
  <si>
    <t>EXERCICE 16 — Nettoyer un nom puis remplacer l’espace par un tiret</t>
  </si>
  <si>
    <t>La cellule contient des espaces inutiles au début, à la fin et entre les deux mots. Dans une seule formule, nettoyez d’abord le texte avec SUPPRESPACE, puis remplacez l’espace restant entre les deux mots par un tiret avec SUBSTITUE. Le résultat attendu est « Martin-Claire ».</t>
  </si>
  <si>
    <t>Texte source</t>
  </si>
  <si>
    <t>Martin   Claire</t>
  </si>
  <si>
    <t>EXERCICE 17 — Contrôler la longueur d’un code après nettoyage</t>
  </si>
  <si>
    <t>La cellule contient des espaces inutiles. Nettoyez le texte avec SUPPRESPACE, comptez ensuite ses caractères avec NBCAR, puis utilisez SI pour afficher exactement « OK » si le texte nettoyé contient au maximum 12 caractères, sinon « Trop long ».</t>
  </si>
  <si>
    <t>Code source</t>
  </si>
  <si>
    <t>REF   2026   075</t>
  </si>
  <si>
    <t>6 — FONCTIONS DYNAMIQUES COMBINÉES AUTREMENT</t>
  </si>
  <si>
    <t>EXERCICE 18 — Réunir dans une seule cellule les clients filtrés</t>
  </si>
  <si>
    <t>Affichez dans une seule cellule les noms des clients dont le statut est « Payée ». Utilisez FILTRE pour produire la liste correspondante, puis JOINDRE.TEXTE pour réunir les noms avec le séparateur « - » entouré d’espaces. Le résultat attendu est « Martin - Leroy - Dupont ».</t>
  </si>
  <si>
    <t>Durand</t>
  </si>
  <si>
    <t>EXERCICE 19 — Trouver le maximum d’un montant calculé et filtré</t>
  </si>
  <si>
    <t>Parmi les commandes dont le statut est « Payée », trouvez le montant le plus élevé sans créer de colonne Montant. Calculez à la volée Quantité × Prix unitaire, utilisez FILTRE pour ne conserver que les montants calculés des commandes « Payée », puis MAX sur ce résultat filtré. Une commande non payée produit volontairement un montant supérieur.</t>
  </si>
  <si>
    <t>EXERCICE 20 — Récupérer une seule valeur dans un résultat filtré</t>
  </si>
  <si>
    <t>Filtrez directement la colonne Produit pour ne conserver que les lignes dont le statut est « En attente », puis utilisez INDEX sur ce résultat filtré pour renvoyer le premier produit. Le résultat attendu est « Souris ».</t>
  </si>
  <si>
    <t>Ecran</t>
  </si>
  <si>
    <t>Support</t>
  </si>
  <si>
    <t>7 — CONSTRUIRE UNE FORMULE PAR ÉTAPES</t>
  </si>
  <si>
    <t>EXERCICE 21 — Extraire un élément compris entre deux tirets</t>
  </si>
  <si>
    <t>Le code « FR-AURA-2026 » contient trois parties séparées par des tirets. Construisez la formule progressivement : 1) trouvez la position du premier tiret ; 2) trouvez la position du deuxième tiret en faisant commencer la recherche après le premier ; 3) calculez la position de départ de l’extraction ; 4) calculez le nombre de caractères à extraire ; 5) utilisez STXT pour obtenir « AURA » ; 6) regroupez ensuite les calculs dans une seule formule.</t>
  </si>
  <si>
    <t>FR-AURA-2026</t>
  </si>
  <si>
    <t>Étape 1 — Position 1er tiret</t>
  </si>
  <si>
    <t>Étape 2 — Position 2e tiret</t>
  </si>
  <si>
    <t>Étape 3 — Début extraction</t>
  </si>
  <si>
    <t>Étape 4 — Longueur</t>
  </si>
  <si>
    <t>Étape 5 — Résultat STXT</t>
  </si>
  <si>
    <t>EXERCICE 22 — Retrouver le client de la plus grosse commande payée</t>
  </si>
  <si>
    <t>● Alternative : Excel 2019+</t>
  </si>
  <si>
    <t>Construisez la recherche en deux étapes : 1) utilisez MAX.SI.ENS pour trouver le montant le plus élevé parmi les commandes dont le statut est « Payée » ; 2) utilisez ensuite ce montant dans RECHERCHEX pour retrouver le client correspondant. Une commande non payée possède volontairement un montant supérieur. Regroupez enfin les deux fonctions dans une seule formule. Avec Excel 2019 sans RECHERCHEX, vous pouvez conserver MAX.SI.ENS et utiliser INDEX + EQUIV pour retrouver le client.</t>
  </si>
  <si>
    <t>Étape 2 — Client</t>
  </si>
  <si>
    <t>EXERCICE 23 — Calculer le montant de la dernière commande d’un client</t>
  </si>
  <si>
    <t>Pour le client indiqué, procédez par étapes : 1) retrouvez le produit de sa dernière commande avec RECHERCHEX en recherchant de la fin vers le début ; 2) retrouvez de la même façon la quantité de cette dernière commande ; 3) recherchez le prix du produit dans le catalogue ; 4) calculez le montant ; 5) regroupez le tout dans une seule formule. Pour rechercher de la fin vers le début avec RECHERCHEX, utilisez -1 comme mode de recherche.</t>
  </si>
  <si>
    <t>Étape 1 — Dernier produit</t>
  </si>
  <si>
    <t>Étape 2 — Dernière quantité</t>
  </si>
  <si>
    <t>Étape 3 — Prix</t>
  </si>
  <si>
    <t>8 — LET : NOMMER LES RÉSULTATS INTERMÉDIAIRES</t>
  </si>
  <si>
    <t>EXERCICE 24 — Nommer un calcul intermédiaire avec LET</t>
  </si>
  <si>
    <t>Utilisez LET pour calculer le total TTC. Dans LET, un nom est suivi de la valeur ou du calcul qu’il représente, puis le dernier argument indique le résultat à renvoyer. Nommez « totalHT » le montant HT obtenu à partir du prix et de la quantité, puis utilisez ce nom pour calculer le TTC. Rappel : montant TTC = montant HT × (1 + taux de TVA). Le résultat attendu est 451,80 €.</t>
  </si>
  <si>
    <t>Prix HT</t>
  </si>
  <si>
    <t>TVA</t>
  </si>
  <si>
    <t>Votre formule LET</t>
  </si>
  <si>
    <t>EXERCICE 25 — Éviter de répéter une recherche avec LET</t>
  </si>
  <si>
    <t>Utilisez LET pour éviter de répéter la recherche du stock. Nommez « stock » le résultat d’un RECHERCHEX sur le code indiqué, puis utilisez SI sur ce nom : affichez exactement « Commander » si le stock est inférieur à 10, sinon « Stock OK ». Le résultat attendu est « Commander ».</t>
  </si>
  <si>
    <t>EXERCICE 26 — Nommer deux recherches avec LET</t>
  </si>
  <si>
    <t>À partir de l’identifiant indiqué, utilisez LET pour calculer le salaire correspondant aux heures travaillées. Nommez « heures » le résultat d’un premier RECHERCHEX et « taux » le résultat d’un second RECHERCHEX, puis renvoyez heures × taux. Le résultat attendu est 690,00 €.</t>
  </si>
  <si>
    <t>Heures</t>
  </si>
  <si>
    <t>Taux horaire</t>
  </si>
  <si>
    <t>EXERCICE 27 — Réutiliser plusieurs fois une longue recherche avec LET</t>
  </si>
  <si>
    <t>À partir du code produit et de la quantité indiqués, utilisez LET pour éviter de répéter une recherche longue. Nommez « totalHT » le résultat de la recherche du prix avec RECHERCHEX multiplié par la quantité. Réutilisez ensuite totalHT pour tester le seuil de 500 €, calculer le montant après remise de 8 % si le seuil est atteint, et renvoyer totalHT sans remise dans le cas contraire. Rappel : montant après remise = montant HT × (1 − taux de remise).</t>
  </si>
  <si>
    <t>9 — SYNTHÈSE : CHOISIR ET COMBINER SANS FORMULE IMPOSÉE</t>
  </si>
  <si>
    <t>EXERCICE 28 — Vérifier le stock avant de calculer un montant</t>
  </si>
  <si>
    <t>Pour chacune des deux lignes, utilisez une formule unique qui recherche le stock et le prix du produit à partir de son code. Si le stock est inférieur à la quantité demandée, affichez exactement « Stock insuffisant ». Sinon, calculez le montant en multipliant le prix unitaire par la quantité. Recopiez la formule sur la deuxième ligne. Aucun nom de fonction n’est imposé.</t>
  </si>
  <si>
    <t>EXERCICE 29 — Appliquer une remise obtenue à travers deux tableaux</t>
  </si>
  <si>
    <t>À partir du numéro de commande indiqué, calculez le montant après remise dans une seule formule. Le tableau Commandes fournit le client et le montant brut. Le tableau Clients fournit le niveau du client. Le tableau Remises associe chaque niveau à un taux. Rappel : montant net = montant brut × (1 − taux de remise). Aucun nom de fonction n’est imposé.</t>
  </si>
  <si>
    <t>Montant brut</t>
  </si>
  <si>
    <t>C-401</t>
  </si>
  <si>
    <t>Silver</t>
  </si>
  <si>
    <t>C-402</t>
  </si>
  <si>
    <t>Gold</t>
  </si>
  <si>
    <t>C-403</t>
  </si>
  <si>
    <t>Bronze</t>
  </si>
  <si>
    <t>EXERCICE 30 — Construire un résultat texte à partir de plusieurs recherches</t>
  </si>
  <si>
    <t>À partir de l’identifiant indiqué, construisez dans une seule cellule le texte « Karim - sophie.leroy ». Le premier tableau fournit le service et l’adresse e-mail de la personne. Le second tableau permet de retrouver le responsable du service. La partie « sophie.leroy » correspond au texte situé avant @ dans l’adresse e-mail. Vous pouvez choisir les fonctions déjà étudiées ; le résultat final doit respecter exactement le séparateur espace-tiret-espace.</t>
  </si>
  <si>
    <t>Service</t>
  </si>
  <si>
    <t>Responsable</t>
  </si>
  <si>
    <t>RH</t>
  </si>
  <si>
    <t>Finance</t>
  </si>
  <si>
    <t>Nora</t>
  </si>
  <si>
    <t>IT</t>
  </si>
  <si>
    <t>EXERCICES — CHAPITRE 9</t>
  </si>
  <si>
    <t>LA FORMULE S’AFFICHE AU LIEU DU RÉSULTAT</t>
  </si>
  <si>
    <t>EXERCICE 1 — Diagnostiquer une formule affichée au lieu de son résultat</t>
  </si>
  <si>
    <t>La cellule devrait afficher le total des cinq montants, mais elle montre la formule elle-même. L’observation de la barre de formule est reproduite ci-dessous. Identifiez ce qui empêche le calcul, puis saisissez dans la cellule verte une formule qui renvoie le total.</t>
  </si>
  <si>
    <t>Affichage dans la cellule</t>
  </si>
  <si>
    <t>=SOMME(B37:B41)</t>
  </si>
  <si>
    <t>Barre de formule observée</t>
  </si>
  <si>
    <t>Votre formule corrigée</t>
  </si>
  <si>
    <t>EXERCICE 2 — Diagnostiquer une formule qui reste affichée</t>
  </si>
  <si>
    <t>La cellule verte affiche =B54*C54 alors qu’elle devrait montrer le montant calculé. La formule elle-même est correcte. Identifiez ce qui empêche Excel de l’évaluer, corrigez le problème, puis obtenez 99,60 €.</t>
  </si>
  <si>
    <t>Cellule à réparer</t>
  </si>
  <si>
    <t>=B54*C54</t>
  </si>
  <si>
    <t>EXCEL REFUSE LA FORMULE</t>
  </si>
  <si>
    <t>EXERCICE 3 — Diagnostiquer une formule SI refusée</t>
  </si>
  <si>
    <t>Excel refuse la formule ci-dessous. Elle doit afficher « OK » si la moyenne des cinq notes est au moins égale à 14, sinon exactement « à revoir ». Corrigez la formule pour obtenir le comportement attendu.</t>
  </si>
  <si>
    <t>Formule incorrecte</t>
  </si>
  <si>
    <t>=SI(MOYENNE(B67:B71)&gt;=14);"OK";"à revoir")</t>
  </si>
  <si>
    <t>EXERCICE 4 — Diagnostiquer une formule refusée à deux arguments</t>
  </si>
  <si>
    <t>Excel refuse la formule ci-dessous. Elle doit additionner les deux montants et renvoyer 120. Corrigez la formule pour obtenir le résultat attendu.</t>
  </si>
  <si>
    <t>Montant 1</t>
  </si>
  <si>
    <t>Montant 2</t>
  </si>
  <si>
    <t>=SOMME(B84,D84)</t>
  </si>
  <si>
    <t>EXERCICE 5 — Diagnostiquer une autre formule SI refusée</t>
  </si>
  <si>
    <t>Excel refuse cette formule. À partir du montant de 125 €, elle doit renvoyer « Priorité » si le montant est au moins égal à 100 €, sinon « Standard ». Corrigez la formule pour obtenir le comportement attendu.</t>
  </si>
  <si>
    <t>=SI(B97&gt;=100 "Priorité";"Standard")</t>
  </si>
  <si>
    <t>EXERCICE 6 — #NOM? — Diagnostiquer une formule de calcul</t>
  </si>
  <si>
    <t>La formule ci-dessous renvoie #NOM?. À partir des quatre valeurs, elle devrait calculer 16,5. Identifiez ce qu’Excel ne parvient pas à interpréter, puis corrigez la formule.</t>
  </si>
  <si>
    <t>Formule en erreur</t>
  </si>
  <si>
    <t>=MOYENE(B112:B115)</t>
  </si>
  <si>
    <t>EXERCICE 7 — #NOM? — Diagnostiquer une formule utilisant un taux</t>
  </si>
  <si>
    <t>La formule ci-dessous renvoie #NOM?. Elle doit calculer le montant TTC à partir du prix, de la quantité et du taux de TVA indiqué sur la feuille. Identifiez la cause de l’erreur, puis corrigez la formule pour obtenir 288,00 €.</t>
  </si>
  <si>
    <t>=B128*C128*(1+tauxTVA)</t>
  </si>
  <si>
    <t>EXERCICE 8 — #N/A — Diagnostiquer une recherche</t>
  </si>
  <si>
    <t>La recherche ci-dessous renvoie #N/A alors qu’un prix est attendu. Comparez la valeur recherchée, le catalogue et la formule, puis corrigez uniquement ce qui est nécessaire pour obtenir 34,55 €.</t>
  </si>
  <si>
    <t>P104</t>
  </si>
  <si>
    <t>Résultat de la recherche</t>
  </si>
  <si>
    <t>EXERCICE 9 — #N/A — Rendre une recherche explicite après diagnostic</t>
  </si>
  <si>
    <t>La recherche du code CL-99 renvoie #N/A. Analysez la table et la formule pour déterminer si l’erreur vient de la construction de la recherche ou des données disponibles. Corrigez ensuite la formule pour afficher exactement « Client absent » lorsque la recherche n’aboutit pas.</t>
  </si>
  <si>
    <t>CL-99</t>
  </si>
  <si>
    <t>Formule à corriger</t>
  </si>
  <si>
    <t>EXERCICE 10 — #VALEUR! — Diagnostiquer un calcul</t>
  </si>
  <si>
    <t>Le calcul du montant renvoie #VALEUR!. Analysez les deux données utilisées par la multiplication, corrigez ce qui pose problème, puis obtenez 239,40 €.</t>
  </si>
  <si>
    <t>12 unités</t>
  </si>
  <si>
    <t>EXERCICE 11 — #VALEUR! — Diagnostiquer une fonction texte</t>
  </si>
  <si>
    <t>La formule STXT renvoie #VALEUR!. Elle doit extraire trois caractères à partir du deuxième caractère et obtenir « BCD ». Analysez les données et les arguments utilisés, puis corrigez ce qui empêche le calcul.</t>
  </si>
  <si>
    <t>Texte</t>
  </si>
  <si>
    <t>Nb caractères</t>
  </si>
  <si>
    <t>ABCDEFG</t>
  </si>
  <si>
    <t>trois</t>
  </si>
  <si>
    <t>EXERCICE 12 — #REF! — Reconstruire une formule</t>
  </si>
  <si>
    <t>La formule d’origine contient #REF! et ne peut plus calculer le montant. À partir des colonnes encore présentes et du résultat attendu de 149,40 €, identifiez la référence devenue inutilisable puis reconstruisez la formule dans la cellule verte.</t>
  </si>
  <si>
    <t>Ancienne formule</t>
  </si>
  <si>
    <t>=C197*#REF!</t>
  </si>
  <si>
    <t>Votre formule reconstruite</t>
  </si>
  <si>
    <t>EXERCICE 13 — #DIV/0! — Diagnostiquer un taux</t>
  </si>
  <si>
    <t>Le calcul du taux renvoie #DIV/0!. Analysez les valeurs utilisées, puis modifiez la formule pour qu’elle renvoie le taux lorsque le calcul est possible et affiche exactement « Non calculable » lorsqu’il ne l’est pas.</t>
  </si>
  <si>
    <t>Contacts</t>
  </si>
  <si>
    <t>Formule à sécuriser</t>
  </si>
  <si>
    <t>EXERCICE 14 — #PROPAGATION! — Diagnostiquer une plage dynamique</t>
  </si>
  <si>
    <t>La formule affichée à droite doit classer les quatre clients par ordre alphabétique. Saisissez-la dans la première cellule verte de la colonne Résultat trié. Si Excel affiche #PROPAGATION!, identifiez ce qui empêche le résultat de se propager et corrigez uniquement ce problème.</t>
  </si>
  <si>
    <t>Résultat trié</t>
  </si>
  <si>
    <t>Formule à tester</t>
  </si>
  <si>
    <t>=TRIER(B225:B228)</t>
  </si>
  <si>
    <t>Ancienne valeur</t>
  </si>
  <si>
    <t>EXERCICE 15 — #PROPAGATION! — Diagnostiquer un autre blocage</t>
  </si>
  <si>
    <t>La formule affichée à droite doit classer les quatre produits par ordre alphabétique. Saisissez-la dans la première cellule verte de la colonne Résultat trié. Si Excel affiche #PROPAGATION!, identifiez ce qui empêche le résultat de se propager et corrigez uniquement ce problème.</t>
  </si>
  <si>
    <t>Produits</t>
  </si>
  <si>
    <t>=TRIER(B237:B240)</t>
  </si>
  <si>
    <t>EXERCICE 16 — #PROPAGATION! — Diagnostiquer un troisième blocage</t>
  </si>
  <si>
    <t>La formule affichée à droite doit classer les quatre clients par ordre alphabétique. Saisissez-la dans la première cellule de la colonne Résultat. Si Excel renvoie #PROPAGATION!, identifiez ce qui empêche le résultat d’apparaître, corrigez uniquement le problème, puis obtenez la liste attendue dans la zone de correction.</t>
  </si>
  <si>
    <t>Zone de correction</t>
  </si>
  <si>
    <t>=TRIER(B253:B256)</t>
  </si>
  <si>
    <t>ERREURS NUMÉRIQUES ET OPÉRATEURS</t>
  </si>
  <si>
    <t>EXERCICE 17 — #NOMBRE! — Diagnostiquer un calcul numérique</t>
  </si>
  <si>
    <t>La formule doit calculer une longueur à partir de la valeur au carré fournie par le relevé. Le résultat attendu est 9, mais Excel renvoie #NOMBRE!. Analysez la donnée et la formule, puis corrigez ce qui est nécessaire.</t>
  </si>
  <si>
    <t>Valeur au carré</t>
  </si>
  <si>
    <t>Longueur</t>
  </si>
  <si>
    <t>EXERCICE 18 — #NUL! — Diagnostiquer une addition de deux plages</t>
  </si>
  <si>
    <t>La formule doit additionner les valeurs des deux colonnes ci-dessous et renvoyer 210, mais Excel affiche #NUL!. Identifiez ce qui ne convient pas dans la formule et corrigez-la dans la cellule verte.</t>
  </si>
  <si>
    <t>Série A</t>
  </si>
  <si>
    <t>Série B</t>
  </si>
  <si>
    <t>QUAND LES DONNÉES TROMPENT LA FORMULE</t>
  </si>
  <si>
    <t>EXERCICE 19 — Diagnostiquer un total incomplet</t>
  </si>
  <si>
    <t>La formule SOMME doit totaliser les cinq montants et renvoyer 1 500 €, mais le résultat affiché est trop faible. La formule couvre bien les cinq lignes. Analysez les données, corrigez ce qui pose problème, puis obtenez le total attendu.</t>
  </si>
  <si>
    <t>450 €</t>
  </si>
  <si>
    <t>Total</t>
  </si>
  <si>
    <t>EXERCICE 20 — Diagnostiquer une date ignorée dans un calcul</t>
  </si>
  <si>
    <t>La formule MIN doit renvoyer la date la plus ancienne parmi les trois lignes. La date attendue est le 01/09/2026, mais Excel renvoie une date plus récente. La formule couvre bien les trois cellules. Diagnostiquez la donnée en cause et corrigez-la.</t>
  </si>
  <si>
    <t>01/09/2026</t>
  </si>
  <si>
    <t>Date la plus ancienne</t>
  </si>
  <si>
    <t>EXERCICE 21 — Diagnostiquer une recherche qui échoue malgré un code visible</t>
  </si>
  <si>
    <t>La recherche du code P-102 doit renvoyer « Souris », mais Excel affiche #N/A. Le code semble pourtant présent dans le catalogue. Analysez précisément la valeur recherchée et les données de la table, puis corrigez le problème.</t>
  </si>
  <si>
    <t>P-102 </t>
  </si>
  <si>
    <t>FORMULE VALIDE, RÉSULTAT FAUX</t>
  </si>
  <si>
    <t>EXERCICE 22 — Diagnostiquer une formule correcte avant recopie</t>
  </si>
  <si>
    <t>La formule de la première ligne donne le bon résultat, mais après recopie vers le bas les lignes suivantes deviennent fausses. Chaque montant doit utiliser le seuil de 600 € et le taux de 10 % indiqués à droite. Corrigez la formule de la première ligne, puis recopiez-la vers le bas.</t>
  </si>
  <si>
    <t>Prime</t>
  </si>
  <si>
    <t>EXERCICE 23 — Diagnostiquer un calcul utilisant deux plages</t>
  </si>
  <si>
    <t>La formule doit calculer le montant total Quantité × Prix unitaire pour les cinq produits, mais Excel renvoie #VALEUR!. Le résultat attendu est 233 €. Analysez les plages utilisées par la formule et corrigez-la.</t>
  </si>
  <si>
    <t>EXERCICE 24 — Diagnostiquer un résultat faux sans message d’erreur</t>
  </si>
  <si>
    <t>Un montant HT de 500 € bénéficie d’une remise de 10 %. Le montant net attendu est donc 450 €. La formule actuelle est acceptée par Excel mais renvoie un résultat incorrect. Identifiez l’erreur de logique et corrigez-la.</t>
  </si>
  <si>
    <t>Montant HT</t>
  </si>
  <si>
    <t>UTILISER LES OUTILS D’AUDIT</t>
  </si>
  <si>
    <t>EXERCICE 25 — Suivre les étapes d’une formule avec Évaluer la formule</t>
  </si>
  <si>
    <t>Dans l’onglet Formules, groupe Audit de formules, cliquez sur Évaluer la formule. Sans modifier la formule affichée, utilisez cet outil pour retrouver les deux résultats successifs demandés : d’abord la moyenne des cinq notes, puis le résultat après l’arrondi à une décimale.</t>
  </si>
  <si>
    <t>Formule observée</t>
  </si>
  <si>
    <t>Résultat de MOYENNE</t>
  </si>
  <si>
    <t>Résultat après ARRONDI</t>
  </si>
  <si>
    <t>EXERCICE 26 — Identifier les antécédents directs d’une formule</t>
  </si>
  <si>
    <t>Dans l’onglet Formules, groupe Audit de formules, utilisez Repérer les antécédents sur la cellule du montant final. Indiquez combien de cellules alimentent directement la formule et quelle cellule contient le taux appliqué.</t>
  </si>
  <si>
    <t>Base 1</t>
  </si>
  <si>
    <t>Base 2</t>
  </si>
  <si>
    <t>Base 3</t>
  </si>
  <si>
    <t>Montant final</t>
  </si>
  <si>
    <t>Nombre d’antécédents directs</t>
  </si>
  <si>
    <t>Cellule contenant le taux</t>
  </si>
  <si>
    <t>EXERCICE 27 — Identifier les dépendants d’un taux</t>
  </si>
  <si>
    <t>Dans l’onglet Formules, groupe Audit de formules, utilisez Repérer les dépendants sur la cellule du taux de TVA. Combien de cellules de calcul dépendent directement de ce taux ? Inscrivez uniquement le nombre dans la cellule verte.</t>
  </si>
  <si>
    <t>Montant A</t>
  </si>
  <si>
    <t>Montant B</t>
  </si>
  <si>
    <t>Montant C</t>
  </si>
  <si>
    <t>Montant D</t>
  </si>
  <si>
    <t>Nombre de dépendants directs</t>
  </si>
  <si>
    <t>SYNTHÈSE — DIAGNOSTIQUER SANS INDICE SUR LA CAUSE</t>
  </si>
  <si>
    <t>EXERCICE 28 — Diagnostiquer une recherche sans indice sur la cause</t>
  </si>
  <si>
    <t>La formule doit renvoyer le prix du code P-104, soit 34,55 €, mais elle échoue. Aucun indice supplémentaire n’est donné : analysez la valeur recherchée, la plage et les arguments de la formule, puis corrigez-la.</t>
  </si>
  <si>
    <t>EXERCICE 29 — Diagnostiquer un cas limite sans message d’erreur</t>
  </si>
  <si>
    <t>Une prime de 10 % est accordée à partir de 500 € de montant, seuil inclus. Pour un montant exactement égal à 500 €, la prime attendue est donc 50 €. La formule actuelle est acceptée par Excel mais renvoie 0. Corrigez-la.</t>
  </si>
  <si>
    <t>EXERCICE 30 — Défi final — Corriger trois formules différentes</t>
  </si>
  <si>
    <t>Les trois formules ci-dessous présentent trois problèmes différents. Cas A : avec une valeur de 80 et un seuil de 100, afficher « OK » si le seuil est atteint, sinon exactement « à revoir ». Cas B : calculer Ventes / Contacts, mais afficher exactement « Non calculable » lorsque le nombre de contacts vaut 0. Cas C : additionner les quatre montants et obtenir 100. Corrigez chaque formule sans autre indice.</t>
  </si>
  <si>
    <t>Cas</t>
  </si>
  <si>
    <t>Donnée 1</t>
  </si>
  <si>
    <t>Donnée 2</t>
  </si>
  <si>
    <t>Donnée 3</t>
  </si>
  <si>
    <t>Donnée 4</t>
  </si>
  <si>
    <t>Seuil : 100</t>
  </si>
  <si>
    <t>Analyser le besoin</t>
  </si>
  <si>
    <t>Clarifier les données disponibles, les règles métier et les cas à traiter avant de chercher une formule.</t>
  </si>
  <si>
    <t>Choisir la bonne approche</t>
  </si>
  <si>
    <t>Comparer plusieurs approches et retenir la solution la plus simple à maintenir pour le besoin.</t>
  </si>
  <si>
    <t>Construire par étapes</t>
  </si>
  <si>
    <t>Mettre les étapes dans l’ordre et identifier les résultats intermédiaires avant de construire la formule.</t>
  </si>
  <si>
    <t>Tester les cas limites</t>
  </si>
  <si>
    <t>Construire un jeu de tests couvrant cas normal, seuil, cellule vide et exception.</t>
  </si>
  <si>
    <t>Vérifier avant de recopier</t>
  </si>
  <si>
    <t>Décider quelles références doivent suivre la recopie et lesquelles doivent rester fixes.</t>
  </si>
  <si>
    <t>Simplifier une formule</t>
  </si>
  <si>
    <t>Réduire les répétitions et rendre une formule plus lisible, notamment avec LET lorsque c’est utile.</t>
  </si>
  <si>
    <t>Formule ou autre outil Excel ?</t>
  </si>
  <si>
    <t>Évaluer si une formule est réellement pertinente ou si un autre outil Excel serait mieux adapté.</t>
  </si>
  <si>
    <t>Défi final — Résoudre sans aide</t>
  </si>
  <si>
    <t>Résoudre un cas complet : analyser, choisir, construire et vérifier sans fonction imposée.</t>
  </si>
  <si>
    <t>EXERCICES — CHAPITRE 10</t>
  </si>
  <si>
    <t>1 — ANALYSER LE BESOIN</t>
  </si>
  <si>
    <t>EXERCICE 1 — Clarifier une demande avant d’ouvrir Excel</t>
  </si>
  <si>
    <t>On vous demande : « Je veux repérer automatiquement les commandes importantes. » Le tableau ci-dessous montre les informations réellement disponibles. Avant de construire quoi que ce soit, indiquez pour chaque point s’il doit être précisé par l’entreprise. Répondez Oui ou Non dans les cellules vertes.</t>
  </si>
  <si>
    <t>Question</t>
  </si>
  <si>
    <t>À préciser ?</t>
  </si>
  <si>
    <t>Quelle couleur utilise le logo de l’entreprise ?</t>
  </si>
  <si>
    <t>Quel montant rend une commande importante ?</t>
  </si>
  <si>
    <t>CMD-002</t>
  </si>
  <si>
    <t>Dans quel ordre sont affichées les colonnes du tableau ?</t>
  </si>
  <si>
    <t>CMD-003</t>
  </si>
  <si>
    <t>Quel texte doit être affiché quand la règle est vraie ?</t>
  </si>
  <si>
    <t>CMD-004</t>
  </si>
  <si>
    <t>Le statut de la commande doit-il être pris en compte dans la règle ?</t>
  </si>
  <si>
    <t>Que faire si le montant est vide ?</t>
  </si>
  <si>
    <t>EXERCICE 2 — Transformer un besoin complet en règles testables</t>
  </si>
  <si>
    <t>Règle à appliquer : si la ligne est vide, le résultat doit rester vide. Sinon, afficher « Priorité » uniquement si le montant est au moins égal à 1 000 € ET si le client est VIP ; dans tous les autres cas afficher « Standard ». Sans écrire de formule, complétez les résultats attendus.</t>
  </si>
  <si>
    <t>Client VIP ?</t>
  </si>
  <si>
    <t>Oui</t>
  </si>
  <si>
    <t>Non</t>
  </si>
  <si>
    <t>2 — CHOISIR LA BONNE APPROCHE</t>
  </si>
  <si>
    <t>EXERCICE 3 — Choisir le bon type de solution</t>
  </si>
  <si>
    <t>Pour chaque besoin, choisissez l’approche la plus naturelle. Il ne s’agit pas de maîtriser les autres outils, seulement de reconnaître leur rôle. Utilisez les choix proposés dans les cellules vertes.</t>
  </si>
  <si>
    <t>Approche la plus adaptée</t>
  </si>
  <si>
    <t>Importer chaque mois plusieurs fichiers CSV identiques et les nettoyer.</t>
  </si>
  <si>
    <t>Colorer automatiquement les retards supérieurs à 30 jours.</t>
  </si>
  <si>
    <t>Calculer une commission différente sur chaque ligne d’un tableau.</t>
  </si>
  <si>
    <t>Résumer 20 000 ventes par région et par produit.</t>
  </si>
  <si>
    <t>Afficher temporairement uniquement les factures encore impayées.</t>
  </si>
  <si>
    <t>EXERCICE 4 — Choisir la formule la plus facile à maintenir</t>
  </si>
  <si>
    <t>Le taux de TVA peut changer et doit être modifié à un seul endroit. Les trois formules ci-dessous donnent aujourd’hui le même résultat. Indiquez laquelle est la plus facile à maintenir dans ce contexte.</t>
  </si>
  <si>
    <t>Option</t>
  </si>
  <si>
    <t>Formule</t>
  </si>
  <si>
    <t>=$I$69*1,20</t>
  </si>
  <si>
    <t>=$I$69*(1+$I$70)</t>
  </si>
  <si>
    <t>=$I$69+$I$69*20%</t>
  </si>
  <si>
    <t>Option choisie</t>
  </si>
  <si>
    <t>3 — CONSTRUIRE PAR ÉTAPES</t>
  </si>
  <si>
    <t>EXERCICE 5 — Mettre les étapes dans le bon ordre</t>
  </si>
  <si>
    <t>Un code client doit permettre de calculer un montant net. Le code permet de retrouver le niveau du client ; le niveau permet de retrouver sa remise ; la remise est ensuite appliquée au montant brut. Numérotez les quatre actions de 1 à 4 dans l’ordre logique.</t>
  </si>
  <si>
    <t>Action</t>
  </si>
  <si>
    <t>Ordre</t>
  </si>
  <si>
    <t>Calculer le montant net après remise</t>
  </si>
  <si>
    <t>Retrouver le niveau du client à partir du code</t>
  </si>
  <si>
    <t>Appliquer le taux de remise au montant brut</t>
  </si>
  <si>
    <t>Retrouver le taux de remise à partir du niveau</t>
  </si>
  <si>
    <t>4 — TESTER LES CAS LIMITES</t>
  </si>
  <si>
    <t>EXERCICE 6 — Construire un petit jeu de tests</t>
  </si>
  <si>
    <t>Règle : une prime est accordée à partir de 500 €, seuil inclus, et une cellule vide doit produire un résultat vide. Pour couvrir exactement les quatre catégories suivantes — cas normal au-dessus, juste sous le seuil, seuil exact et cellule vide — marquez « À tester » sur une seule valeur représentative de chaque catégorie.</t>
  </si>
  <si>
    <t>Valeur candidate</t>
  </si>
  <si>
    <t>À conserver dans le jeu de tests ?</t>
  </si>
  <si>
    <t>(vide)</t>
  </si>
  <si>
    <t>5 — VÉRIFIER AVANT DE RECOPIER</t>
  </si>
  <si>
    <t>EXERCICE 7 — Décider quelles références doivent rester fixes</t>
  </si>
  <si>
    <t>La formule ci-dessous sera recopiée vers le bas. Dans le tableau final, B117 représente le montant de la ligne, H117 le seuil commun et H118 le taux commun. Avant de recopier, indiquez pour chaque référence si elle doit rester relative ou devenir absolue.</t>
  </si>
  <si>
    <t>Formule actuelle</t>
  </si>
  <si>
    <t>=SI(B117&gt;=H117;B117*H118;0)</t>
  </si>
  <si>
    <t>Comportement attendu</t>
  </si>
  <si>
    <t>Rôle</t>
  </si>
  <si>
    <t>Exemple</t>
  </si>
  <si>
    <t>B117</t>
  </si>
  <si>
    <t>Montant de la ligne</t>
  </si>
  <si>
    <t>620 €</t>
  </si>
  <si>
    <t>H117</t>
  </si>
  <si>
    <t>Seuil commun</t>
  </si>
  <si>
    <t>600 €</t>
  </si>
  <si>
    <t>H118</t>
  </si>
  <si>
    <t>Taux commun</t>
  </si>
  <si>
    <t>10 %</t>
  </si>
  <si>
    <t>6 — SIMPLIFIER UNE FORMULE</t>
  </si>
  <si>
    <t>EXERCICE 8 — Réduire une formule qui répète le même calcul</t>
  </si>
  <si>
    <t>La formule ci-dessous fonctionne, mais elle répète trois fois la même recherche du prix multiplié par la quantité. Réécrivez-la avec LET en nommant ce calcul intermédiaire totalHT. Le résultat attendu est 772,80 €.</t>
  </si>
  <si>
    <t>P-01</t>
  </si>
  <si>
    <t>P-03</t>
  </si>
  <si>
    <t>P-02</t>
  </si>
  <si>
    <t>=SI(RECHERCHEX(I134;B134:B136;C134:C136)*I135&gt;=I136;RECHERCHEX(I134;B134:B136;C134:C136)*I135*(1-I137);RECHERCHEX(I134;B134:B136;C134:C136)*I135)</t>
  </si>
  <si>
    <t>Votre formule simplifiée</t>
  </si>
  <si>
    <t>7 — FORMULE OU AUTRE OUTIL EXCEL ?</t>
  </si>
  <si>
    <t>EXERCICE 9 — Évaluer si une formule proposée est réellement pertinente</t>
  </si>
  <si>
    <t>Pour chaque situation, une solution à base de formule est déjà proposée. Décidez s’il est pertinent de la conserver ou s’il vaut mieux envisager un autre outil Excel. L’objectif n’est plus d’identifier précisément l’autre outil — cela a déjà été travaillé — mais de juger la pertinence de la solution proposée selon le besoin, le volume et la maintenance.</t>
  </si>
  <si>
    <t>Situation</t>
  </si>
  <si>
    <t>Solution proposée</t>
  </si>
  <si>
    <t>Créer chaque mois un résumé de 20 000 ventes par région et vendeur.</t>
  </si>
  <si>
    <t>Construire une grille avec des dizaines de SOMME.SI.ENS.</t>
  </si>
  <si>
    <t>Calculer un délai en jours pour chaque ligne d’un tableau.</t>
  </si>
  <si>
    <t>Utiliser une formule de date dans la colonne Délai.</t>
  </si>
  <si>
    <t>Mettre uniquement en rouge les dates dépassées.</t>
  </si>
  <si>
    <t>Ajouter une colonne auxiliaire avec SI uniquement pour piloter la couleur.</t>
  </si>
  <si>
    <t>Importer et nettoyer tous les mois quinze fichiers CSV de même structure.</t>
  </si>
  <si>
    <t>Copier-coller les fichiers puis appliquer manuellement les mêmes formules de nettoyage.</t>
  </si>
  <si>
    <t>Calculer le montant net propre à chaque ligne d’une facture.</t>
  </si>
  <si>
    <t>Utiliser une formule dans la colonne Montant net.</t>
  </si>
  <si>
    <t>8 — DÉFI FINAL : RÉSOUDRE SANS AIDE</t>
  </si>
  <si>
    <t>EXERCICE 10 — Construire une solution complète et robuste</t>
  </si>
  <si>
    <t>Pour chaque commande, utilisez le catalogue pour produire le résultat suivant : si le code produit n’existe pas, afficher exactement « Produit absent » ; sinon, si la quantité demandée dépasse le stock, afficher exactement « Stock insuffisant » ; sinon renvoyer le montant Prix × Quantité. Aucune fonction n’est imposée. Construisez la formule sur la première ligne puis recopiez-la.</t>
  </si>
  <si>
    <t>Code catalogue</t>
  </si>
  <si>
    <t>Code demandé</t>
  </si>
  <si>
    <t>CH10-01</t>
  </si>
  <si>
    <t>C10E01</t>
  </si>
  <si>
    <t>Exercice 1 — Clarifier une demande avant d’ouvrir Excel</t>
  </si>
  <si>
    <t>'Ch.10 - Devenir autonome'!B20</t>
  </si>
  <si>
    <t>Validé — chapitre 10</t>
  </si>
  <si>
    <t>CH10-02</t>
  </si>
  <si>
    <t>Exercice 2 — Transformer un besoin complet en règles testables</t>
  </si>
  <si>
    <t>'Ch.10 - Devenir autonome'!B35</t>
  </si>
  <si>
    <t>CH10-03</t>
  </si>
  <si>
    <t>C10E02</t>
  </si>
  <si>
    <t>Exercice 3 — Choisir le bon type de solution</t>
  </si>
  <si>
    <t>'Ch.10 - Devenir autonome'!B50</t>
  </si>
  <si>
    <t>CH10-04</t>
  </si>
  <si>
    <t>Exercice 4 — Choisir la formule la plus facile à maintenir</t>
  </si>
  <si>
    <t>'Ch.10 - Devenir autonome'!B64</t>
  </si>
  <si>
    <t>CH10-05</t>
  </si>
  <si>
    <t>C10E03</t>
  </si>
  <si>
    <t>Exercice 5 — Mettre les étapes dans le bon ordre</t>
  </si>
  <si>
    <t>'Ch.10 - Devenir autonome'!B80</t>
  </si>
  <si>
    <t>CH10-06</t>
  </si>
  <si>
    <t>C10E04</t>
  </si>
  <si>
    <t>Exercice 6 — Construire un petit jeu de tests</t>
  </si>
  <si>
    <t>'Ch.10 - Devenir autonome'!B95</t>
  </si>
  <si>
    <t>CH10-07</t>
  </si>
  <si>
    <t>C10E05</t>
  </si>
  <si>
    <t>Exercice 7 — Décider quelles références doivent rester fixes</t>
  </si>
  <si>
    <t>'Ch.10 - Devenir autonome'!B112</t>
  </si>
  <si>
    <t>CH10-08</t>
  </si>
  <si>
    <t>C10E06</t>
  </si>
  <si>
    <t>Exercice 8 — Réduire une formule qui répète le même calcul</t>
  </si>
  <si>
    <t>'Ch.10 - Devenir autonome'!B129</t>
  </si>
  <si>
    <t>CH10-09</t>
  </si>
  <si>
    <t>C10E07</t>
  </si>
  <si>
    <t>Exercice 9 — Évaluer si une formule proposée est réellement pertinente</t>
  </si>
  <si>
    <t>'Ch.10 - Devenir autonome'!B149</t>
  </si>
  <si>
    <t>CH10-10</t>
  </si>
  <si>
    <t>C10E08</t>
  </si>
  <si>
    <t>Exercice 10 — Construire une solution complète et robuste</t>
  </si>
  <si>
    <t>'Ch.10 - Devenir autonome'!B165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</si>
</sst>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
    <numFmt numFmtId="165" formatCode="#\ ##0\ \€"/>
    <numFmt numFmtId="166" formatCode="0.00\ &quot;€&quot;"/>
    <numFmt numFmtId="167" formatCode="0.0"/>
    <numFmt numFmtId="168" formatCode="#,##0.00\ &quot;€&quot;"/>
    <numFmt numFmtId="169" formatCode="0\ &quot;€&quot;"/>
  </numFmts>
  <fonts count="62">
    <font>
      <sz val="11"/>
      <name val="Carlito"/>
    </font>
    <font>
      <b/>
      <sz val="20"/>
      <color rgb="FFFFFFFF"/>
      <name val="Carlito"/>
    </font>
    <font>
      <i/>
      <sz val="10"/>
      <color rgb="FF64748B"/>
      <name val="Carlito"/>
    </font>
    <font>
      <b/>
      <sz val="9"/>
      <color rgb="FFFFFFFF"/>
      <name val="Carlito"/>
    </font>
    <font>
      <b/>
      <sz val="11"/>
      <color rgb="FF071A3D"/>
      <name val="Carlito"/>
    </font>
    <font>
      <sz val="10"/>
      <color rgb="FF1E293B"/>
      <name val="Carlito"/>
    </font>
    <font>
      <b/>
      <sz val="10"/>
      <color rgb="FFFFFFFF"/>
      <name val="Carlito"/>
    </font>
    <font>
      <i/>
      <sz val="9"/>
      <color rgb="FF64748B"/>
      <name val="Carlito"/>
    </font>
    <font>
      <sz val="9"/>
      <color rgb="FF1E293B"/>
      <name val="Carlito"/>
    </font>
    <font>
      <b/>
      <sz val="10"/>
      <color rgb="FF071A3D"/>
      <name val="Carlito"/>
    </font>
    <font>
      <b/>
      <sz val="9"/>
      <color rgb="FF1E293B"/>
      <name val="Carlito"/>
    </font>
    <font>
      <b/>
      <sz val="13"/>
      <color rgb="FF18B95B"/>
      <name val="Carlito"/>
    </font>
    <font>
      <b/>
      <sz val="13"/>
      <color rgb="FF11A8D1"/>
      <name val="Carlito"/>
    </font>
    <font>
      <b/>
      <sz val="13"/>
      <color rgb="FFF4B000"/>
      <name val="Carlito"/>
    </font>
    <font>
      <b/>
      <sz val="13"/>
      <color rgb="FFD33EEA"/>
      <name val="Carlito"/>
    </font>
    <font>
      <b/>
      <sz val="13"/>
      <color rgb="FFE53D3D"/>
      <name val="Carlito"/>
    </font>
    <font>
      <b/>
      <sz val="9"/>
      <color rgb="FF071A3D"/>
      <name val="Carlito"/>
    </font>
    <font>
      <b/>
      <sz val="12"/>
      <color rgb="FF18B95B"/>
      <name val="Carlito"/>
    </font>
    <font>
      <sz val="9"/>
      <color rgb="FF64748B"/>
      <name val="Carlito"/>
    </font>
    <font>
      <b/>
      <sz val="12"/>
      <color rgb="FF11A8D1"/>
      <name val="Carlito"/>
    </font>
    <font>
      <b/>
      <sz val="12"/>
      <color rgb="FFF4B000"/>
      <name val="Carlito"/>
    </font>
    <font>
      <b/>
      <sz val="8"/>
      <color rgb="FF94A3B8"/>
      <name val="Carlito"/>
    </font>
    <font>
      <b/>
      <sz val="8"/>
      <color rgb="FFFFFFFF"/>
      <name val="Carlito"/>
    </font>
    <font>
      <sz val="8"/>
      <color rgb="FF8995A5"/>
      <name val="Carlito"/>
    </font>
    <font>
      <b/>
      <sz val="9"/>
      <color rgb="FF15365F"/>
      <name val="Carlito"/>
    </font>
    <font>
      <b/>
      <sz val="12"/>
      <color rgb="FF16A7D3"/>
      <name val="Carlito"/>
    </font>
    <font>
      <b/>
      <sz val="12"/>
      <color rgb="FFF3B000"/>
      <name val="Carlito"/>
    </font>
    <font>
      <b/>
      <sz val="12"/>
      <color rgb="FFD63EEA"/>
      <name val="Carlito"/>
    </font>
    <font>
      <b/>
      <sz val="12"/>
      <color rgb="FFE53D3D"/>
      <name val="Carlito"/>
    </font>
    <font>
      <b/>
      <sz val="15"/>
      <color rgb="FFFFFFFF"/>
      <name val="Carlito"/>
    </font>
    <font>
      <b/>
      <sz val="9"/>
      <color rgb="FF108A44"/>
      <name val="Carlito"/>
    </font>
    <font>
      <b/>
      <sz val="10"/>
      <color rgb="FF15365F"/>
      <name val="Carlito"/>
    </font>
    <font>
      <sz val="11"/>
      <color theme="10"/>
      <name val="Carlito"/>
    </font>
    <font>
      <b/>
      <sz val="8"/>
      <color theme="0"/>
      <name val="Carlito"/>
    </font>
    <font>
      <b/>
      <sz val="11"/>
      <color rgb="FFFFFFFF"/>
      <name val="Carlito"/>
    </font>
    <font>
      <b/>
      <sz val="9"/>
      <color rgb="FFFFFFFF"/>
      <name val="Aptos"/>
    </font>
    <font>
      <b/>
      <sz val="11"/>
      <color rgb="FF00B050"/>
      <name val="Carlito"/>
    </font>
    <font>
      <b/>
      <sz val="10"/>
      <color rgb="FF1E293B"/>
      <name val="Carlito"/>
    </font>
    <font>
      <b/>
      <sz val="9"/>
      <color rgb="FF16A7D3"/>
      <name val="Carlito"/>
    </font>
    <font>
      <sz val="10"/>
      <color theme="0"/>
      <name val="Carlito"/>
    </font>
    <font>
      <b/>
      <sz val="9"/>
      <color rgb="FFC026D3"/>
      <name val="Carlito"/>
    </font>
    <font>
      <sz val="11"/>
      <color rgb="FF1E293B"/>
      <name val="Carlito"/>
    </font>
    <font>
      <b/>
      <sz val="11"/>
      <color rgb="FF1E293B"/>
      <name val="Carlito"/>
    </font>
    <font>
      <b/>
      <sz val="9"/>
      <color rgb="FFD69200"/>
      <name val="Carlito"/>
    </font>
    <font>
      <b/>
      <sz val="11"/>
      <color rgb="FFD69200"/>
      <name val="Carlito"/>
    </font>
    <font>
      <sz val="11"/>
      <color rgb="FF1E293B"/>
      <name val="Carlito"/>
    </font>
    <font>
      <b/>
      <sz val="11"/>
      <color rgb="FF7F6000"/>
      <name val="Carlito"/>
    </font>
    <font>
      <b/>
      <sz val="11"/>
      <color rgb="FF15365F"/>
      <name val="Carlito"/>
    </font>
    <font>
      <b/>
      <sz val="11"/>
      <color rgb="FF108A44"/>
      <name val="Carlito"/>
    </font>
    <font>
      <b/>
      <sz val="11"/>
      <color rgb="FF16A7D3"/>
      <name val="Carlito"/>
    </font>
    <font>
      <b/>
      <sz val="11"/>
      <color rgb="FFC026D3"/>
      <name val="Carlito"/>
    </font>
    <font>
      <b/>
      <sz val="11"/>
      <color rgb="FF18B95B"/>
      <name val="Carlito"/>
    </font>
    <font>
      <b/>
      <sz val="11"/>
      <color rgb="FFF3B000"/>
      <name val="Carlito"/>
    </font>
    <font>
      <b/>
      <sz val="11"/>
      <color rgb="FFD63EEA"/>
      <name val="Carlito"/>
    </font>
    <font>
      <b/>
      <sz val="11"/>
      <color rgb="FFE53D3D"/>
      <name val="Carlito"/>
    </font>
    <font>
      <b/>
      <sz val="11"/>
      <color rgb="FF0B1F3A"/>
      <name val="Carlito"/>
    </font>
    <font>
      <b/>
      <sz val="11"/>
      <color rgb="FF008000"/>
      <name val="Carlito"/>
    </font>
    <font>
      <b/>
      <sz val="11"/>
      <color rgb="FF111827"/>
      <name val="Carlito"/>
    </font>
    <font>
      <sz val="11"/>
      <color rgb="FF1F2937"/>
      <name val="Carlito"/>
    </font>
    <font>
      <b/>
      <sz val="11"/>
      <color rgb="FFD99100"/>
      <name val="Carlito"/>
    </font>
    <font>
      <sz val="11"/>
      <color rgb="FF000000"/>
      <name val="Carlito"/>
    </font>
    <font>
      <b/>
      <sz val="11"/>
      <color rgb="FFC5221F"/>
      <name val="Carlito"/>
    </font>
  </fonts>
  <fills count="101">
    <fill>
      <patternFill patternType="none"/>
    </fill>
    <fill>
      <patternFill patternType="gray125"/>
    </fill>
    <fill>
      <patternFill patternType="solid">
        <fgColor rgb="FF071A3D"/>
      </patternFill>
    </fill>
    <fill>
      <patternFill patternType="solid">
        <fgColor rgb="FF18B95B"/>
      </patternFill>
    </fill>
    <fill>
      <patternFill patternType="solid">
        <fgColor rgb="FF6657E8"/>
      </patternFill>
    </fill>
    <fill>
      <patternFill patternType="solid">
        <fgColor rgb="FFE8EEF6"/>
      </patternFill>
    </fill>
    <fill>
      <patternFill patternType="solid">
        <fgColor rgb="FFF7F9FC"/>
      </patternFill>
    </fill>
    <fill>
      <patternFill patternType="solid">
        <fgColor rgb="FFE7F7ED"/>
      </patternFill>
    </fill>
    <fill>
      <patternFill patternType="solid">
        <fgColor rgb="FFFFF3C4"/>
      </patternFill>
    </fill>
    <fill>
      <patternFill patternType="solid">
        <fgColor rgb="FF163761"/>
      </patternFill>
    </fill>
    <fill>
      <patternFill patternType="solid">
        <fgColor rgb="FF9AA7B7"/>
      </patternFill>
    </fill>
    <fill>
      <patternFill patternType="solid">
        <fgColor rgb="FFF5F7FA"/>
      </patternFill>
    </fill>
    <fill>
      <patternFill patternType="solid">
        <fgColor rgb="FF11A8D1"/>
      </patternFill>
    </fill>
    <fill>
      <patternFill patternType="solid">
        <fgColor rgb="FFE5E7EB"/>
      </patternFill>
    </fill>
    <fill>
      <patternFill patternType="solid">
        <fgColor rgb="FF071A3D"/>
      </patternFill>
    </fill>
    <fill>
      <patternFill patternType="solid">
        <fgColor rgb="FF7A8798"/>
      </patternFill>
    </fill>
    <fill>
      <patternFill patternType="solid">
        <fgColor rgb="FFF1F4F8"/>
      </patternFill>
    </fill>
    <fill>
      <patternFill patternType="solid">
        <fgColor rgb="FFE5EDF7"/>
      </patternFill>
    </fill>
    <fill>
      <patternFill patternType="solid">
        <fgColor rgb="FFFFF2B3"/>
      </patternFill>
    </fill>
    <fill>
      <patternFill patternType="solid">
        <fgColor rgb="FFEEF3F8"/>
      </patternFill>
    </fill>
    <fill>
      <patternFill patternType="solid">
        <fgColor rgb="FF18B95B"/>
      </patternFill>
    </fill>
    <fill>
      <patternFill patternType="solid">
        <fgColor rgb="FF15365F"/>
      </patternFill>
    </fill>
    <fill>
      <patternFill patternType="solid">
        <fgColor rgb="FFE8F7EE"/>
      </patternFill>
    </fill>
    <fill>
      <patternFill patternType="solid">
        <fgColor rgb="FF0F8F45"/>
      </patternFill>
    </fill>
    <fill>
      <patternFill patternType="solid">
        <fgColor rgb="FFEFF8F2"/>
      </patternFill>
    </fill>
    <fill>
      <patternFill patternType="solid">
        <fgColor rgb="FFFFFFFF"/>
      </patternFill>
    </fill>
    <fill>
      <patternFill patternType="solid">
        <fgColor rgb="FFE5EDF7"/>
      </patternFill>
    </fill>
    <fill>
      <patternFill patternType="solid">
        <fgColor rgb="FFE8F7EE"/>
      </patternFill>
    </fill>
    <fill>
      <patternFill patternType="solid">
        <fgColor rgb="FFFFF3C4"/>
      </patternFill>
    </fill>
    <fill>
      <patternFill patternType="solid">
        <fgColor rgb="FFE5EDF7"/>
      </patternFill>
    </fill>
    <fill>
      <patternFill patternType="solid">
        <fgColor rgb="FF00B050"/>
      </patternFill>
    </fill>
    <fill>
      <patternFill patternType="solid">
        <fgColor rgb="FF15365F"/>
      </patternFill>
    </fill>
    <fill>
      <patternFill patternType="solid">
        <fgColor rgb="FFE5EDF7"/>
      </patternFill>
    </fill>
    <fill>
      <patternFill patternType="solid">
        <fgColor rgb="FFEEF3F8"/>
      </patternFill>
    </fill>
    <fill>
      <patternFill patternType="solid">
        <fgColor rgb="FFF7F9FC"/>
      </patternFill>
    </fill>
    <fill>
      <patternFill patternType="solid">
        <fgColor rgb="FFF1F5F9"/>
      </patternFill>
    </fill>
    <fill>
      <patternFill patternType="solid">
        <fgColor rgb="FFE8F7EE"/>
      </patternFill>
    </fill>
    <fill>
      <patternFill patternType="solid">
        <fgColor rgb="FFFFF3C4"/>
      </patternFill>
    </fill>
    <fill>
      <patternFill patternType="solid">
        <fgColor rgb="FFFFFFFF"/>
      </patternFill>
    </fill>
    <fill>
      <patternFill patternType="solid">
        <fgColor rgb="FFFFFFFF"/>
      </patternFill>
    </fill>
    <fill>
      <patternFill patternType="solid">
        <fgColor rgb="FF217346"/>
      </patternFill>
    </fill>
    <fill>
      <patternFill patternType="solid">
        <fgColor rgb="FF15365F"/>
      </patternFill>
    </fill>
    <fill>
      <patternFill patternType="solid">
        <fgColor rgb="FFE5EDF7"/>
      </patternFill>
    </fill>
    <fill>
      <patternFill patternType="solid">
        <fgColor rgb="FFEEF3F8"/>
      </patternFill>
    </fill>
    <fill>
      <patternFill patternType="solid">
        <fgColor rgb="FFF7F9FC"/>
      </patternFill>
    </fill>
    <fill>
      <patternFill patternType="solid">
        <fgColor rgb="FFE8F7EE"/>
      </patternFill>
    </fill>
    <fill>
      <patternFill patternType="solid">
        <fgColor rgb="FFF1F5F9"/>
      </patternFill>
    </fill>
    <fill>
      <patternFill patternType="solid">
        <fgColor rgb="FF15365F"/>
      </patternFill>
    </fill>
    <fill>
      <patternFill patternType="solid">
        <fgColor rgb="FF217346"/>
      </patternFill>
    </fill>
    <fill>
      <patternFill patternType="solid">
        <fgColor rgb="FFE5EDF7"/>
      </patternFill>
    </fill>
    <fill>
      <patternFill patternType="solid">
        <fgColor rgb="FFEEF3F8"/>
      </patternFill>
    </fill>
    <fill>
      <patternFill patternType="solid">
        <fgColor rgb="FFF7F9FC"/>
      </patternFill>
    </fill>
    <fill>
      <patternFill patternType="solid">
        <fgColor rgb="FFFFFFFF"/>
      </patternFill>
    </fill>
    <fill>
      <patternFill patternType="solid">
        <fgColor rgb="FFE8F7EE"/>
      </patternFill>
    </fill>
    <fill>
      <patternFill patternType="solid">
        <fgColor rgb="FFFFF3C4"/>
      </patternFill>
    </fill>
    <fill>
      <patternFill patternType="solid">
        <fgColor rgb="FFF5F0FF"/>
      </patternFill>
    </fill>
    <fill>
      <patternFill patternType="solid">
        <fgColor rgb="FFDDEBF7"/>
      </patternFill>
    </fill>
    <fill>
      <patternFill patternType="solid">
        <fgColor rgb="FF15365F"/>
      </patternFill>
    </fill>
    <fill>
      <patternFill patternType="solid">
        <fgColor rgb="FF217346"/>
      </patternFill>
    </fill>
    <fill>
      <patternFill patternType="solid">
        <fgColor rgb="FFE5EDF7"/>
      </patternFill>
    </fill>
    <fill>
      <patternFill patternType="solid">
        <fgColor rgb="FFEEF3F8"/>
      </patternFill>
    </fill>
    <fill>
      <patternFill patternType="solid">
        <fgColor rgb="FFF7F9FC"/>
      </patternFill>
    </fill>
    <fill>
      <patternFill patternType="solid">
        <fgColor rgb="FFE8F7EE"/>
      </patternFill>
    </fill>
    <fill>
      <patternFill patternType="solid">
        <fgColor rgb="FF15365F"/>
      </patternFill>
    </fill>
    <fill>
      <patternFill patternType="solid">
        <fgColor rgb="FF217346"/>
      </patternFill>
    </fill>
    <fill>
      <patternFill patternType="solid">
        <fgColor rgb="FFE5EDF7"/>
      </patternFill>
    </fill>
    <fill>
      <patternFill patternType="solid">
        <fgColor rgb="FFEEF3F8"/>
      </patternFill>
    </fill>
    <fill>
      <patternFill patternType="solid">
        <fgColor rgb="FFF7F9FC"/>
      </patternFill>
    </fill>
    <fill>
      <patternFill patternType="solid">
        <fgColor rgb="FFE8F7EE"/>
      </patternFill>
    </fill>
    <fill>
      <patternFill patternType="solid">
        <fgColor rgb="FF15365F"/>
      </patternFill>
    </fill>
    <fill>
      <patternFill patternType="solid">
        <fgColor rgb="FF217346"/>
      </patternFill>
    </fill>
    <fill>
      <patternFill patternType="solid">
        <fgColor rgb="FFE5EDF7"/>
      </patternFill>
    </fill>
    <fill>
      <patternFill patternType="solid">
        <fgColor rgb="FFEEF3F8"/>
      </patternFill>
    </fill>
    <fill>
      <patternFill patternType="solid">
        <fgColor rgb="FFF7F9FC"/>
      </patternFill>
    </fill>
    <fill>
      <patternFill patternType="solid">
        <fgColor rgb="FFEDF2F7"/>
      </patternFill>
    </fill>
    <fill>
      <patternFill patternType="solid">
        <fgColor rgb="FFFFF3C4"/>
      </patternFill>
    </fill>
    <fill>
      <patternFill patternType="solid">
        <fgColor rgb="FFFFFFFF"/>
      </patternFill>
    </fill>
    <fill>
      <patternFill patternType="solid">
        <fgColor rgb="FF217346"/>
      </patternFill>
    </fill>
    <fill>
      <patternFill patternType="solid">
        <fgColor rgb="FFE5EDF7"/>
      </patternFill>
    </fill>
    <fill>
      <patternFill patternType="solid">
        <fgColor rgb="FFEEF3F8"/>
      </patternFill>
    </fill>
    <fill>
      <patternFill patternType="solid">
        <fgColor rgb="FF15365F"/>
      </patternFill>
    </fill>
    <fill>
      <patternFill patternType="solid">
        <fgColor rgb="FFFFF3C4"/>
      </patternFill>
    </fill>
    <fill>
      <patternFill patternType="solid">
        <fgColor rgb="FFF7F9FC"/>
      </patternFill>
    </fill>
    <fill>
      <patternFill patternType="solid">
        <fgColor rgb="FFE8F7EE"/>
      </patternFill>
    </fill>
    <fill>
      <patternFill patternType="solid">
        <fgColor rgb="FFE5EDF7"/>
      </patternFill>
    </fill>
    <fill>
      <patternFill patternType="solid">
        <fgColor rgb="FFEEF3F8"/>
      </patternFill>
    </fill>
    <fill>
      <patternFill patternType="solid">
        <fgColor rgb="FFFFFFFF"/>
      </patternFill>
    </fill>
    <fill>
      <patternFill patternType="solid">
        <fgColor rgb="FFF7F9FC"/>
      </patternFill>
    </fill>
    <fill>
      <patternFill patternType="solid">
        <fgColor rgb="FF15365F"/>
      </patternFill>
    </fill>
    <fill>
      <patternFill patternType="solid">
        <fgColor rgb="FFFFF3C4"/>
      </patternFill>
    </fill>
    <fill>
      <patternFill patternType="solid">
        <fgColor rgb="FF217346"/>
      </patternFill>
    </fill>
    <fill>
      <patternFill patternType="solid">
        <fgColor rgb="FFFFF2B3"/>
      </patternFill>
    </fill>
    <fill>
      <patternFill patternType="solid">
        <fgColor rgb="FFE8F7EE"/>
      </patternFill>
    </fill>
    <fill>
      <patternFill patternType="solid">
        <fgColor rgb="FFFFF1BE"/>
      </patternFill>
    </fill>
    <fill>
      <patternFill patternType="solid">
        <fgColor rgb="FF15365F"/>
      </patternFill>
    </fill>
    <fill>
      <patternFill patternType="solid">
        <fgColor rgb="FFDCE6F1"/>
      </patternFill>
    </fill>
    <fill>
      <patternFill patternType="solid">
        <fgColor rgb="FFF4F6F8"/>
      </patternFill>
    </fill>
    <fill>
      <patternFill patternType="solid">
        <fgColor rgb="FF17365D"/>
      </patternFill>
    </fill>
    <fill>
      <patternFill patternType="solid">
        <fgColor rgb="FFFFF2CC"/>
      </patternFill>
    </fill>
    <fill>
      <patternFill patternType="solid">
        <fgColor rgb="FFF3F4F6"/>
      </patternFill>
    </fill>
    <fill>
      <patternFill patternType="solid">
        <fgColor rgb="FFE8F7EE"/>
        <bgColor indexed="64"/>
      </patternFill>
    </fill>
  </fills>
  <borders count="127">
    <border>
      <left/>
      <right/>
      <top/>
      <bottom/>
      <diagonal/>
    </border>
    <border>
      <left style="thin">
        <color rgb="FF6657E8"/>
      </left>
      <right style="thin">
        <color rgb="FF6657E8"/>
      </right>
      <top style="thin">
        <color rgb="FF6657E8"/>
      </top>
      <bottom style="thin">
        <color rgb="FF6657E8"/>
      </bottom>
      <diagonal/>
    </border>
    <border>
      <left/>
      <right/>
      <top/>
      <bottom style="thin">
        <color rgb="FFD2DCE8"/>
      </bottom>
      <diagonal/>
    </border>
    <border>
      <left style="medium">
        <color rgb="FF18B95B"/>
      </left>
      <right/>
      <top style="medium">
        <color rgb="FF18B95B"/>
      </top>
      <bottom style="medium">
        <color rgb="FF18B95B"/>
      </bottom>
      <diagonal/>
    </border>
    <border>
      <left style="thin">
        <color rgb="FF9AA7B7"/>
      </left>
      <right/>
      <top style="thin">
        <color rgb="FF9AA7B7"/>
      </top>
      <bottom style="thin">
        <color rgb="FF9AA7B7"/>
      </bottom>
      <diagonal/>
    </border>
    <border>
      <left/>
      <right/>
      <top style="thin">
        <color rgb="FF9AA7B7"/>
      </top>
      <bottom style="thin">
        <color rgb="FF9AA7B7"/>
      </bottom>
      <diagonal/>
    </border>
    <border>
      <left/>
      <right style="thin">
        <color rgb="FF9AA7B7"/>
      </right>
      <top style="thin">
        <color rgb="FF9AA7B7"/>
      </top>
      <bottom style="thin">
        <color rgb="FF9AA7B7"/>
      </bottom>
      <diagonal/>
    </border>
    <border>
      <left style="thin">
        <color rgb="FFD2DCE8"/>
      </left>
      <right/>
      <top style="thin">
        <color rgb="FFD2DCE8"/>
      </top>
      <bottom/>
      <diagonal/>
    </border>
    <border>
      <left/>
      <right/>
      <top style="thin">
        <color rgb="FFD2DCE8"/>
      </top>
      <bottom/>
      <diagonal/>
    </border>
    <border>
      <left/>
      <right style="thin">
        <color rgb="FFD2DCE8"/>
      </right>
      <top style="thin">
        <color rgb="FFD2DCE8"/>
      </top>
      <bottom/>
      <diagonal/>
    </border>
    <border>
      <left style="thin">
        <color rgb="FFD2DCE8"/>
      </left>
      <right/>
      <top/>
      <bottom/>
      <diagonal/>
    </border>
    <border>
      <left/>
      <right style="thin">
        <color rgb="FFD2DCE8"/>
      </right>
      <top/>
      <bottom/>
      <diagonal/>
    </border>
    <border>
      <left style="thin">
        <color rgb="FFD2DCE8"/>
      </left>
      <right/>
      <top/>
      <bottom style="thin">
        <color rgb="FFD2DCE8"/>
      </bottom>
      <diagonal/>
    </border>
    <border>
      <left/>
      <right style="thin">
        <color rgb="FFD2DCE8"/>
      </right>
      <top/>
      <bottom style="thin">
        <color rgb="FFD2DCE8"/>
      </bottom>
      <diagonal/>
    </border>
    <border>
      <left style="thin">
        <color rgb="FF108A44"/>
      </left>
      <right/>
      <top style="thin">
        <color rgb="FF108A44"/>
      </top>
      <bottom style="thin">
        <color rgb="FF108A44"/>
      </bottom>
      <diagonal/>
    </border>
    <border>
      <left/>
      <right/>
      <top style="thin">
        <color rgb="FF108A44"/>
      </top>
      <bottom style="thin">
        <color rgb="FF108A44"/>
      </bottom>
      <diagonal/>
    </border>
    <border>
      <left/>
      <right style="thin">
        <color rgb="FF108A44"/>
      </right>
      <top style="thin">
        <color rgb="FF108A44"/>
      </top>
      <bottom style="thin">
        <color rgb="FF108A44"/>
      </bottom>
      <diagonal/>
    </border>
    <border>
      <left style="thin">
        <color rgb="FF11A8D1"/>
      </left>
      <right style="thin">
        <color rgb="FF11A8D1"/>
      </right>
      <top style="thin">
        <color rgb="FF11A8D1"/>
      </top>
      <bottom style="thin">
        <color rgb="FF11A8D1"/>
      </bottom>
      <diagonal/>
    </border>
    <border>
      <left/>
      <right/>
      <top style="thin">
        <color rgb="FF163761"/>
      </top>
      <bottom style="thin">
        <color rgb="FF163761"/>
      </bottom>
      <diagonal/>
    </border>
    <border>
      <left style="thin">
        <color rgb="FFD2DCE8"/>
      </left>
      <right style="thin">
        <color rgb="FFD2DCE8"/>
      </right>
      <top style="thin">
        <color rgb="FFD2DCE8"/>
      </top>
      <bottom/>
      <diagonal/>
    </border>
    <border>
      <left/>
      <right/>
      <top style="thin">
        <color rgb="FF163761"/>
      </top>
      <bottom style="thin">
        <color rgb="FF15365F"/>
      </bottom>
      <diagonal/>
    </border>
    <border>
      <left/>
      <right/>
      <top/>
      <bottom style="thin">
        <color rgb="FFCAD5E2"/>
      </bottom>
      <diagonal/>
    </border>
    <border>
      <left style="thin">
        <color rgb="FFF4B000"/>
      </left>
      <right style="thin">
        <color rgb="FFF4B000"/>
      </right>
      <top style="thin">
        <color rgb="FFF4B000"/>
      </top>
      <bottom style="thin">
        <color rgb="FFCAD5E2"/>
      </bottom>
      <diagonal/>
    </border>
    <border>
      <left/>
      <right/>
      <top/>
      <bottom/>
      <diagonal/>
    </border>
    <border>
      <left style="thin">
        <color rgb="FF18B95B"/>
      </left>
      <right/>
      <top style="thin">
        <color rgb="FF18B95B"/>
      </top>
      <bottom style="thin">
        <color rgb="FF18B95B"/>
      </bottom>
      <diagonal/>
    </border>
    <border>
      <left/>
      <right/>
      <top style="thin">
        <color rgb="FF18B95B"/>
      </top>
      <bottom style="thin">
        <color rgb="FF18B95B"/>
      </bottom>
      <diagonal/>
    </border>
    <border>
      <left/>
      <right style="thin">
        <color rgb="FF18B95B"/>
      </right>
      <top style="thin">
        <color rgb="FF18B95B"/>
      </top>
      <bottom style="thin">
        <color rgb="FF18B95B"/>
      </bottom>
      <diagonal/>
    </border>
    <border>
      <left style="thin">
        <color rgb="FFF3B000"/>
      </left>
      <right/>
      <top style="thin">
        <color rgb="FFF3B000"/>
      </top>
      <bottom style="thin">
        <color rgb="FFF3B000"/>
      </bottom>
      <diagonal/>
    </border>
    <border>
      <left/>
      <right/>
      <top style="thin">
        <color rgb="FFF3B000"/>
      </top>
      <bottom style="thin">
        <color rgb="FFF3B000"/>
      </bottom>
      <diagonal/>
    </border>
    <border>
      <left/>
      <right style="thin">
        <color rgb="FFF3B000"/>
      </right>
      <top style="thin">
        <color rgb="FFF3B000"/>
      </top>
      <bottom style="thin">
        <color rgb="FFF3B000"/>
      </bottom>
      <diagonal/>
    </border>
    <border>
      <left style="thin">
        <color rgb="FFF4B000"/>
      </left>
      <right style="thin">
        <color rgb="FFF4B000"/>
      </right>
      <top style="thin">
        <color rgb="FFF4B000"/>
      </top>
      <bottom/>
      <diagonal/>
    </border>
    <border>
      <left style="thin">
        <color rgb="FFF4B000"/>
      </left>
      <right style="thin">
        <color rgb="FFF4B000"/>
      </right>
      <top/>
      <bottom style="thin">
        <color rgb="FFCAD5E2"/>
      </bottom>
      <diagonal/>
    </border>
    <border>
      <left style="thin">
        <color rgb="FFFFC000"/>
      </left>
      <right style="thin">
        <color rgb="FFFFC000"/>
      </right>
      <top style="thin">
        <color rgb="FFFFC000"/>
      </top>
      <bottom style="thin">
        <color rgb="FFFFC000"/>
      </bottom>
      <diagonal/>
    </border>
    <border>
      <left style="thin">
        <color rgb="FFFFC000"/>
      </left>
      <right style="thin">
        <color rgb="FFFFC000"/>
      </right>
      <top style="thin">
        <color rgb="FFFFC000"/>
      </top>
      <bottom/>
      <diagonal/>
    </border>
    <border>
      <left style="thin">
        <color rgb="FFFFC000"/>
      </left>
      <right/>
      <top style="thin">
        <color rgb="FF163761"/>
      </top>
      <bottom style="thin">
        <color rgb="FF163761"/>
      </bottom>
      <diagonal/>
    </border>
    <border>
      <left style="thin">
        <color rgb="FFFFC000"/>
      </left>
      <right style="thin">
        <color rgb="FFFFC000"/>
      </right>
      <top style="thin">
        <color rgb="FF163761"/>
      </top>
      <bottom style="thin">
        <color rgb="FF163761"/>
      </bottom>
      <diagonal/>
    </border>
    <border>
      <left style="thin">
        <color rgb="FFF4B000"/>
      </left>
      <right style="thin">
        <color rgb="FFF4B000"/>
      </right>
      <top style="thin">
        <color rgb="FFF4B000"/>
      </top>
      <bottom style="thin">
        <color rgb="FFFFC000"/>
      </bottom>
      <diagonal/>
    </border>
    <border>
      <left/>
      <right style="thin">
        <color rgb="FFCAD5E2"/>
      </right>
      <top style="thin">
        <color rgb="FFCAD5E2"/>
      </top>
      <bottom style="thin">
        <color rgb="FFCAD5E2"/>
      </bottom>
      <diagonal/>
    </border>
    <border>
      <left style="thin">
        <color rgb="FFD2DCE8"/>
      </left>
      <right style="thin">
        <color rgb="FFCAD5E2"/>
      </right>
      <top style="thin">
        <color rgb="FFCAD5E2"/>
      </top>
      <bottom style="thin">
        <color rgb="FFCAD5E2"/>
      </bottom>
      <diagonal/>
    </border>
    <border>
      <left style="thin">
        <color rgb="FFD2DCE8"/>
      </left>
      <right style="thin">
        <color rgb="FFD2DCE8"/>
      </right>
      <top/>
      <bottom style="thin">
        <color rgb="FFCAD5E2"/>
      </bottom>
      <diagonal/>
    </border>
    <border>
      <left style="thin">
        <color rgb="FFF4B000"/>
      </left>
      <right style="thin">
        <color rgb="FFF4B000"/>
      </right>
      <top/>
      <bottom style="thin">
        <color rgb="FFF4B000"/>
      </bottom>
      <diagonal/>
    </border>
    <border>
      <left/>
      <right style="thin">
        <color rgb="FFCAD5E2"/>
      </right>
      <top/>
      <bottom style="thin">
        <color rgb="FFCAD5E2"/>
      </bottom>
      <diagonal/>
    </border>
    <border>
      <left style="thin">
        <color rgb="FFFFC000"/>
      </left>
      <right style="thin">
        <color rgb="FFFFC000"/>
      </right>
      <top/>
      <bottom style="thin">
        <color rgb="FFFFC000"/>
      </bottom>
      <diagonal/>
    </border>
    <border>
      <left style="thin">
        <color rgb="FFF4B000"/>
      </left>
      <right style="thin">
        <color rgb="FFF4B000"/>
      </right>
      <top style="thin">
        <color rgb="FF163761"/>
      </top>
      <bottom style="thin">
        <color rgb="FF163761"/>
      </bottom>
      <diagonal/>
    </border>
    <border>
      <left style="thin">
        <color rgb="FFD2DCE8"/>
      </left>
      <right style="thin">
        <color rgb="FFD2DCE8"/>
      </right>
      <top style="thin">
        <color rgb="FF163761"/>
      </top>
      <bottom style="thin">
        <color rgb="FF163761"/>
      </bottom>
      <diagonal/>
    </border>
    <border>
      <left style="thin">
        <color rgb="FFFFC000"/>
      </left>
      <right style="thin">
        <color rgb="FFCAD5E2"/>
      </right>
      <top style="thin">
        <color rgb="FF163761"/>
      </top>
      <bottom style="thin">
        <color rgb="FF163761"/>
      </bottom>
      <diagonal/>
    </border>
    <border>
      <left/>
      <right style="thin">
        <color rgb="FFCAD5E2"/>
      </right>
      <top style="thin">
        <color rgb="FF163761"/>
      </top>
      <bottom style="thin">
        <color rgb="FF163761"/>
      </bottom>
      <diagonal/>
    </border>
    <border>
      <left/>
      <right/>
      <top style="medium">
        <color rgb="FFE5EDF7"/>
      </top>
      <bottom style="thin">
        <color rgb="FFCAD5E2"/>
      </bottom>
      <diagonal/>
    </border>
    <border>
      <left/>
      <right style="thin">
        <color rgb="FFF4B000"/>
      </right>
      <top style="medium">
        <color rgb="FFE5EDF7"/>
      </top>
      <bottom style="thin">
        <color rgb="FFCAD5E2"/>
      </bottom>
      <diagonal/>
    </border>
    <border>
      <left/>
      <right/>
      <top/>
      <bottom style="medium">
        <color rgb="FFE5EDF7"/>
      </bottom>
      <diagonal/>
    </border>
    <border>
      <left/>
      <right style="thin">
        <color rgb="FFF4B000"/>
      </right>
      <top/>
      <bottom style="medium">
        <color rgb="FFE5EDF7"/>
      </bottom>
      <diagonal/>
    </border>
    <border>
      <left style="thin">
        <color rgb="FF7B8797"/>
      </left>
      <right/>
      <top style="thin">
        <color rgb="FF7B8797"/>
      </top>
      <bottom/>
      <diagonal/>
    </border>
    <border>
      <left/>
      <right/>
      <top style="thin">
        <color rgb="FF7B8797"/>
      </top>
      <bottom/>
      <diagonal/>
    </border>
    <border>
      <left/>
      <right style="thin">
        <color rgb="FF7B8797"/>
      </right>
      <top style="thin">
        <color rgb="FF7B8797"/>
      </top>
      <bottom/>
      <diagonal/>
    </border>
    <border>
      <left/>
      <right/>
      <top/>
      <bottom style="thin">
        <color rgb="FF15365F"/>
      </bottom>
      <diagonal/>
    </border>
    <border>
      <left style="thin">
        <color rgb="FFF3B000"/>
      </left>
      <right style="thin">
        <color rgb="FFF3B000"/>
      </right>
      <top style="thin">
        <color rgb="FFF3B000"/>
      </top>
      <bottom style="thin">
        <color rgb="FFF3B000"/>
      </bottom>
      <diagonal/>
    </border>
    <border>
      <left style="thin">
        <color rgb="FF18B95B"/>
      </left>
      <right style="thin">
        <color rgb="FF18B95B"/>
      </right>
      <top style="thin">
        <color rgb="FF18B95B"/>
      </top>
      <bottom style="thin">
        <color rgb="FF18B95B"/>
      </bottom>
      <diagonal/>
    </border>
    <border>
      <left style="thin">
        <color rgb="FF18B95B"/>
      </left>
      <right style="thin">
        <color rgb="FF18B95B"/>
      </right>
      <top style="thin">
        <color rgb="FF18B95B"/>
      </top>
      <bottom/>
      <diagonal/>
    </border>
    <border>
      <left/>
      <right/>
      <top style="thin">
        <color rgb="FF217346"/>
      </top>
      <bottom style="thin">
        <color rgb="FF217346"/>
      </bottom>
      <diagonal/>
    </border>
    <border>
      <left style="thin">
        <color rgb="FFD7DEE8"/>
      </left>
      <right/>
      <top style="thin">
        <color rgb="FFD7DEE8"/>
      </top>
      <bottom/>
      <diagonal/>
    </border>
    <border>
      <left/>
      <right style="thin">
        <color rgb="FFD7DEE8"/>
      </right>
      <top style="thin">
        <color rgb="FFD7DEE8"/>
      </top>
      <bottom/>
      <diagonal/>
    </border>
    <border>
      <left style="thin">
        <color rgb="FFD7DEE8"/>
      </left>
      <right/>
      <top/>
      <bottom/>
      <diagonal/>
    </border>
    <border>
      <left/>
      <right style="thin">
        <color rgb="FFD7DEE8"/>
      </right>
      <top/>
      <bottom/>
      <diagonal/>
    </border>
    <border>
      <left style="thin">
        <color rgb="FFD7DEE8"/>
      </left>
      <right/>
      <top/>
      <bottom style="thin">
        <color rgb="FFD7DEE8"/>
      </bottom>
      <diagonal/>
    </border>
    <border>
      <left/>
      <right style="thin">
        <color rgb="FFD7DEE8"/>
      </right>
      <top/>
      <bottom style="thin">
        <color rgb="FFD7DEE8"/>
      </bottom>
      <diagonal/>
    </border>
    <border>
      <left style="thin">
        <color rgb="FFD7DEE8"/>
      </left>
      <right style="thin">
        <color rgb="FFD7DEE8"/>
      </right>
      <top style="thin">
        <color rgb="FFD7DEE8"/>
      </top>
      <bottom style="thin">
        <color rgb="FFD7DEE8"/>
      </bottom>
      <diagonal/>
    </border>
    <border>
      <left/>
      <right/>
      <top style="thin">
        <color rgb="FFD7DEE8"/>
      </top>
      <bottom/>
      <diagonal/>
    </border>
    <border>
      <left/>
      <right/>
      <top/>
      <bottom style="thin">
        <color rgb="FFD7DEE8"/>
      </bottom>
      <diagonal/>
    </border>
    <border>
      <left style="thin">
        <color rgb="FF15365F"/>
      </left>
      <right style="thin">
        <color rgb="FF15365F"/>
      </right>
      <top style="thin">
        <color rgb="FF15365F"/>
      </top>
      <bottom style="thin">
        <color rgb="FF15365F"/>
      </bottom>
      <diagonal/>
    </border>
    <border>
      <left/>
      <right/>
      <top/>
      <bottom/>
      <diagonal/>
    </border>
    <border>
      <left style="thin">
        <color rgb="FFD7DEE8"/>
      </left>
      <right/>
      <top style="thin">
        <color rgb="FFD7DEE8"/>
      </top>
      <bottom style="thin">
        <color rgb="FFD7DEE8"/>
      </bottom>
      <diagonal/>
    </border>
    <border>
      <left/>
      <right/>
      <top style="thin">
        <color rgb="FFD7DEE8"/>
      </top>
      <bottom style="thin">
        <color rgb="FFD7DEE8"/>
      </bottom>
      <diagonal/>
    </border>
    <border>
      <left/>
      <right/>
      <top style="medium">
        <color rgb="FF18B95B"/>
      </top>
      <bottom style="medium">
        <color rgb="FF18B95B"/>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thin">
        <color rgb="FFD7DEE8"/>
      </right>
      <top style="thin">
        <color rgb="FFD7DEE8"/>
      </top>
      <bottom style="thin">
        <color rgb="FFD7DEE8"/>
      </bottom>
      <diagonal/>
    </border>
    <border>
      <left style="thin">
        <color rgb="FF15365F"/>
      </left>
      <right/>
      <top style="thin">
        <color rgb="FF15365F"/>
      </top>
      <bottom style="thin">
        <color rgb="FF15365F"/>
      </bottom>
      <diagonal/>
    </border>
    <border>
      <left/>
      <right/>
      <top style="thin">
        <color rgb="FF15365F"/>
      </top>
      <bottom style="thin">
        <color rgb="FF15365F"/>
      </bottom>
      <diagonal/>
    </border>
    <border>
      <left/>
      <right style="thin">
        <color rgb="FF15365F"/>
      </right>
      <top style="thin">
        <color rgb="FF15365F"/>
      </top>
      <bottom style="thin">
        <color rgb="FF15365F"/>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n">
        <color rgb="FFD9E2F3"/>
      </left>
      <right style="thin">
        <color rgb="FFD9E2F3"/>
      </right>
      <top style="thin">
        <color rgb="FFD9E2F3"/>
      </top>
      <bottom/>
      <diagonal/>
    </border>
    <border>
      <left style="thin">
        <color rgb="FFFFC000"/>
      </left>
      <right/>
      <top style="thin">
        <color rgb="FFFFC000"/>
      </top>
      <bottom style="thin">
        <color rgb="FFFFC000"/>
      </bottom>
      <diagonal/>
    </border>
    <border>
      <left/>
      <right/>
      <top style="thin">
        <color rgb="FFFFC000"/>
      </top>
      <bottom style="thin">
        <color rgb="FFFFC000"/>
      </bottom>
      <diagonal/>
    </border>
    <border>
      <left/>
      <right style="thin">
        <color rgb="FFFFC000"/>
      </right>
      <top style="thin">
        <color rgb="FFFFC000"/>
      </top>
      <bottom style="thin">
        <color rgb="FFFFC000"/>
      </bottom>
      <diagonal/>
    </border>
    <border>
      <left/>
      <right/>
      <top/>
      <bottom/>
      <diagonal/>
    </border>
    <border>
      <left style="thin">
        <color rgb="FFD7DEE8"/>
      </left>
      <right style="thin">
        <color rgb="FFD7DEE8"/>
      </right>
      <top style="thin">
        <color rgb="FFD7DEE8"/>
      </top>
      <bottom/>
      <diagonal/>
    </border>
    <border>
      <left style="thin">
        <color rgb="FFD7DEE8"/>
      </left>
      <right/>
      <top/>
      <bottom/>
      <diagonal/>
    </border>
    <border>
      <left style="thin">
        <color rgb="FFD7DEE8"/>
      </left>
      <right/>
      <top/>
      <bottom style="thin">
        <color rgb="FFD7DEE8"/>
      </bottom>
      <diagonal/>
    </border>
    <border>
      <left/>
      <right style="thin">
        <color rgb="FFD7DEE8"/>
      </right>
      <top/>
      <bottom style="thin">
        <color rgb="FFD7DEE8"/>
      </bottom>
      <diagonal/>
    </border>
    <border>
      <left/>
      <right style="thin">
        <color rgb="FFD7DEE8"/>
      </right>
      <top style="thin">
        <color rgb="FFD7DEE8"/>
      </top>
      <bottom/>
      <diagonal/>
    </border>
    <border>
      <left/>
      <right/>
      <top/>
      <bottom style="thin">
        <color rgb="FF17365D"/>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7DEE8"/>
      </left>
      <right style="thin">
        <color rgb="FF18B95B"/>
      </right>
      <top/>
      <bottom style="thin">
        <color rgb="FFD7DEE8"/>
      </bottom>
      <diagonal/>
    </border>
    <border>
      <left/>
      <right style="thin">
        <color rgb="FF18B95B"/>
      </right>
      <top/>
      <bottom style="thin">
        <color rgb="FFD7DEE8"/>
      </bottom>
      <diagonal/>
    </border>
    <border>
      <left/>
      <right style="thin">
        <color rgb="FF18B95B"/>
      </right>
      <top style="thin">
        <color rgb="FFD7DEE8"/>
      </top>
      <bottom style="thin">
        <color rgb="FFD7DEE8"/>
      </bottom>
      <diagonal/>
    </border>
    <border>
      <left style="thin">
        <color rgb="FFCAD5E2"/>
      </left>
      <right style="thin">
        <color rgb="FFCAD5E2"/>
      </right>
      <top style="thin">
        <color rgb="FFCAD5E2"/>
      </top>
      <bottom style="thin">
        <color rgb="FFCAD5E2"/>
      </bottom>
      <diagonal/>
    </border>
    <border>
      <left style="thin">
        <color rgb="FF00B050"/>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right/>
      <top style="thin">
        <color rgb="FF00B050"/>
      </top>
      <bottom style="thin">
        <color rgb="FF00B050"/>
      </bottom>
      <diagonal/>
    </border>
    <border>
      <left/>
      <right style="thin">
        <color rgb="FF217346"/>
      </right>
      <top style="thin">
        <color rgb="FF00B050"/>
      </top>
      <bottom style="thin">
        <color rgb="FF00B050"/>
      </bottom>
      <diagonal/>
    </border>
    <border>
      <left style="thin">
        <color rgb="FF217346"/>
      </left>
      <right style="thin">
        <color rgb="FF00B050"/>
      </right>
      <top style="thin">
        <color rgb="FF00B050"/>
      </top>
      <bottom style="thin">
        <color rgb="FF00B050"/>
      </bottom>
      <diagonal/>
    </border>
    <border>
      <left style="thin">
        <color rgb="FFFFC000"/>
      </left>
      <right/>
      <top/>
      <bottom style="thin">
        <color rgb="FFFFC000"/>
      </bottom>
      <diagonal/>
    </border>
    <border>
      <left/>
      <right style="thin">
        <color rgb="FFFFC000"/>
      </right>
      <top/>
      <bottom style="thin">
        <color rgb="FFFFC000"/>
      </bottom>
      <diagonal/>
    </border>
    <border>
      <left/>
      <right style="thin">
        <color rgb="FF00B050"/>
      </right>
      <top/>
      <bottom style="thin">
        <color theme="0"/>
      </bottom>
      <diagonal/>
    </border>
    <border>
      <left/>
      <right style="thin">
        <color rgb="FF00B050"/>
      </right>
      <top style="thin">
        <color theme="0"/>
      </top>
      <bottom style="thin">
        <color theme="0"/>
      </bottom>
      <diagonal/>
    </border>
    <border>
      <left/>
      <right style="thin">
        <color rgb="FF00B050"/>
      </right>
      <top style="thin">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rgb="FFFFC000"/>
      </left>
      <right/>
      <top style="thin">
        <color rgb="FFD9E2F3"/>
      </top>
      <bottom style="thin">
        <color rgb="FFD9E2F3"/>
      </bottom>
      <diagonal/>
    </border>
    <border>
      <left/>
      <right style="thin">
        <color rgb="FFFFC000"/>
      </right>
      <top style="thin">
        <color rgb="FFD9E2F3"/>
      </top>
      <bottom style="thin">
        <color rgb="FFD9E2F3"/>
      </bottom>
      <diagonal/>
    </border>
    <border>
      <left style="thin">
        <color rgb="FFD9E2F3"/>
      </left>
      <right/>
      <top style="thin">
        <color theme="0"/>
      </top>
      <bottom style="thin">
        <color theme="0"/>
      </bottom>
      <diagonal/>
    </border>
    <border>
      <left style="thin">
        <color rgb="FFD9E2F3"/>
      </left>
      <right style="thin">
        <color rgb="FFD9E2F3"/>
      </right>
      <top style="thin">
        <color theme="0"/>
      </top>
      <bottom style="thin">
        <color theme="0"/>
      </bottom>
      <diagonal/>
    </border>
    <border>
      <left/>
      <right style="thin">
        <color rgb="FFFFC000"/>
      </right>
      <top/>
      <bottom style="thin">
        <color theme="0"/>
      </bottom>
      <diagonal/>
    </border>
    <border>
      <left/>
      <right style="thin">
        <color rgb="FFFFC000"/>
      </right>
      <top style="thin">
        <color theme="0"/>
      </top>
      <bottom/>
      <diagonal/>
    </border>
    <border>
      <left/>
      <right style="thin">
        <color rgb="FFFFC000"/>
      </right>
      <top style="thin">
        <color theme="0"/>
      </top>
      <bottom style="thin">
        <color theme="0"/>
      </bottom>
      <diagonal/>
    </border>
  </borders>
  <cellStyleXfs count="2">
    <xf numFmtId="0" fontId="0" fillId="0" borderId="0"/>
    <xf numFmtId="0" fontId="32" fillId="0" borderId="0" applyNumberFormat="0" applyFill="0" applyBorder="0" applyAlignment="0" applyProtection="0"/>
  </cellStyleXfs>
  <cellXfs count="616">
    <xf numFmtId="0" fontId="0" fillId="0" borderId="0" xfId="0"/>
    <xf numFmtId="0" fontId="0" fillId="2" borderId="0" xfId="0" applyFill="1"/>
    <xf numFmtId="0" fontId="0" fillId="3" borderId="0" xfId="0" applyFill="1"/>
    <xf numFmtId="0" fontId="1" fillId="2" borderId="0" xfId="0" applyFont="1" applyFill="1" applyAlignment="1">
      <alignment vertical="center"/>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2" xfId="0" applyBorder="1" applyAlignment="1">
      <alignment vertical="center" wrapText="1"/>
    </xf>
    <xf numFmtId="0" fontId="0" fillId="0" borderId="13" xfId="0" applyBorder="1" applyAlignment="1">
      <alignment vertical="center" wrapText="1"/>
    </xf>
    <xf numFmtId="0" fontId="7" fillId="0" borderId="0" xfId="0" applyFont="1"/>
    <xf numFmtId="0" fontId="8" fillId="0" borderId="0" xfId="0" applyFont="1" applyAlignment="1">
      <alignment wrapText="1"/>
    </xf>
    <xf numFmtId="0" fontId="7" fillId="11" borderId="0" xfId="0" applyFont="1" applyFill="1" applyAlignment="1">
      <alignment wrapText="1"/>
    </xf>
    <xf numFmtId="0" fontId="11" fillId="0" borderId="0" xfId="0" applyFont="1" applyAlignment="1">
      <alignment horizontal="center" vertical="center"/>
    </xf>
    <xf numFmtId="0" fontId="8" fillId="0" borderId="2" xfId="0" applyFont="1" applyBorder="1" applyAlignme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8" fillId="0" borderId="2" xfId="0" applyFont="1" applyBorder="1" applyAlignment="1">
      <alignment vertical="center" wrapText="1"/>
    </xf>
    <xf numFmtId="0" fontId="16" fillId="0" borderId="2" xfId="0" applyFont="1" applyBorder="1" applyAlignment="1">
      <alignment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1" fillId="13" borderId="0" xfId="0" applyFont="1" applyFill="1"/>
    <xf numFmtId="0" fontId="3" fillId="14" borderId="0" xfId="0" applyFont="1" applyFill="1" applyAlignment="1">
      <alignment horizontal="center" vertical="center" wrapText="1"/>
    </xf>
    <xf numFmtId="0" fontId="22" fillId="15" borderId="0" xfId="0" applyFont="1" applyFill="1" applyAlignment="1">
      <alignment horizontal="center" wrapText="1"/>
    </xf>
    <xf numFmtId="0" fontId="23" fillId="16" borderId="0" xfId="0" applyFont="1" applyFill="1"/>
    <xf numFmtId="0" fontId="9" fillId="17" borderId="20" xfId="0" applyFont="1" applyFill="1" applyBorder="1" applyAlignment="1">
      <alignment vertical="center"/>
    </xf>
    <xf numFmtId="0" fontId="8" fillId="0" borderId="21" xfId="0" applyFont="1" applyBorder="1" applyAlignment="1">
      <alignment vertical="center" wrapText="1"/>
    </xf>
    <xf numFmtId="0" fontId="24" fillId="0" borderId="21" xfId="0" applyFont="1" applyBorder="1" applyAlignment="1">
      <alignment vertical="center" wrapText="1"/>
    </xf>
    <xf numFmtId="0" fontId="17" fillId="0" borderId="21" xfId="0" applyFont="1" applyBorder="1" applyAlignment="1">
      <alignment horizontal="center" vertical="center" wrapText="1"/>
    </xf>
    <xf numFmtId="0" fontId="25" fillId="0" borderId="21" xfId="0" applyFont="1" applyBorder="1" applyAlignment="1">
      <alignment horizontal="center" vertical="center" wrapText="1"/>
    </xf>
    <xf numFmtId="0" fontId="26" fillId="0" borderId="21" xfId="0" applyFont="1" applyBorder="1" applyAlignment="1">
      <alignment horizontal="center" vertical="center" wrapText="1"/>
    </xf>
    <xf numFmtId="0" fontId="27" fillId="0" borderId="21" xfId="0" applyFont="1" applyBorder="1" applyAlignment="1">
      <alignment horizontal="center" vertical="center" wrapText="1"/>
    </xf>
    <xf numFmtId="0" fontId="28" fillId="0" borderId="21" xfId="0" applyFont="1" applyBorder="1" applyAlignment="1">
      <alignment horizontal="center" vertical="center" wrapText="1"/>
    </xf>
    <xf numFmtId="0" fontId="16" fillId="18" borderId="22" xfId="0" applyFont="1" applyFill="1" applyBorder="1" applyAlignment="1">
      <alignment horizontal="center" vertical="center" wrapText="1"/>
    </xf>
    <xf numFmtId="0" fontId="0" fillId="14" borderId="0" xfId="0" applyFill="1"/>
    <xf numFmtId="0" fontId="29" fillId="14" borderId="0" xfId="0" applyFont="1" applyFill="1"/>
    <xf numFmtId="0" fontId="0" fillId="20" borderId="0" xfId="0" applyFill="1"/>
    <xf numFmtId="0" fontId="3" fillId="21" borderId="0" xfId="0" applyFont="1" applyFill="1" applyAlignment="1">
      <alignment horizontal="center"/>
    </xf>
    <xf numFmtId="0" fontId="8" fillId="0" borderId="0" xfId="0" applyFont="1" applyAlignment="1">
      <alignment vertical="center" wrapText="1"/>
    </xf>
    <xf numFmtId="0" fontId="24" fillId="0" borderId="0" xfId="0" applyFont="1" applyAlignment="1">
      <alignment vertical="center" wrapText="1"/>
    </xf>
    <xf numFmtId="0" fontId="3" fillId="23" borderId="14" xfId="0" applyFont="1" applyFill="1" applyBorder="1" applyAlignment="1">
      <alignment horizontal="center" vertical="center" wrapText="1"/>
    </xf>
    <xf numFmtId="0" fontId="3" fillId="23" borderId="15" xfId="0" applyFont="1" applyFill="1" applyBorder="1" applyAlignment="1">
      <alignment horizontal="center" vertical="center" wrapText="1"/>
    </xf>
    <xf numFmtId="0" fontId="3" fillId="23" borderId="16" xfId="0" applyFont="1" applyFill="1" applyBorder="1" applyAlignment="1">
      <alignment horizontal="center" vertical="center" wrapText="1"/>
    </xf>
    <xf numFmtId="0" fontId="0" fillId="24" borderId="7" xfId="0" applyFill="1" applyBorder="1" applyAlignment="1">
      <alignment vertical="center" wrapText="1"/>
    </xf>
    <xf numFmtId="0" fontId="0" fillId="24" borderId="8" xfId="0" applyFill="1" applyBorder="1" applyAlignment="1">
      <alignment vertical="center" wrapText="1"/>
    </xf>
    <xf numFmtId="0" fontId="0" fillId="24" borderId="9" xfId="0" applyFill="1" applyBorder="1" applyAlignment="1">
      <alignment vertical="center" wrapText="1"/>
    </xf>
    <xf numFmtId="0" fontId="0" fillId="24" borderId="10" xfId="0" applyFill="1" applyBorder="1" applyAlignment="1">
      <alignment vertical="center" wrapText="1"/>
    </xf>
    <xf numFmtId="0" fontId="0" fillId="24" borderId="0" xfId="0" applyFill="1" applyAlignment="1">
      <alignment vertical="center" wrapText="1"/>
    </xf>
    <xf numFmtId="0" fontId="0" fillId="24" borderId="11" xfId="0" applyFill="1" applyBorder="1" applyAlignment="1">
      <alignment vertical="center" wrapText="1"/>
    </xf>
    <xf numFmtId="0" fontId="0" fillId="24" borderId="12" xfId="0" applyFill="1" applyBorder="1" applyAlignment="1">
      <alignment vertical="center" wrapText="1"/>
    </xf>
    <xf numFmtId="0" fontId="0" fillId="24" borderId="2" xfId="0" applyFill="1" applyBorder="1" applyAlignment="1">
      <alignment vertical="center" wrapText="1"/>
    </xf>
    <xf numFmtId="0" fontId="0" fillId="24" borderId="13" xfId="0" applyFill="1" applyBorder="1" applyAlignment="1">
      <alignment vertical="center" wrapText="1"/>
    </xf>
    <xf numFmtId="0" fontId="8" fillId="0" borderId="0" xfId="0" applyFont="1" applyAlignment="1">
      <alignment vertical="top" wrapText="1"/>
    </xf>
    <xf numFmtId="0" fontId="8" fillId="27" borderId="24" xfId="0" applyFont="1" applyFill="1" applyBorder="1"/>
    <xf numFmtId="0" fontId="8" fillId="27" borderId="25" xfId="0" applyFont="1" applyFill="1" applyBorder="1"/>
    <xf numFmtId="0" fontId="8" fillId="27" borderId="26" xfId="0" applyFont="1" applyFill="1" applyBorder="1"/>
    <xf numFmtId="0" fontId="8" fillId="28" borderId="27" xfId="0" applyFont="1" applyFill="1" applyBorder="1"/>
    <xf numFmtId="0" fontId="8" fillId="28" borderId="28" xfId="0" applyFont="1" applyFill="1" applyBorder="1"/>
    <xf numFmtId="0" fontId="8" fillId="28" borderId="29" xfId="0" applyFont="1" applyFill="1" applyBorder="1"/>
    <xf numFmtId="0" fontId="8" fillId="0" borderId="23" xfId="0" applyFont="1" applyBorder="1"/>
    <xf numFmtId="0" fontId="16" fillId="18" borderId="30" xfId="0" applyFont="1" applyFill="1" applyBorder="1" applyAlignment="1">
      <alignment horizontal="center" vertical="center" wrapText="1"/>
    </xf>
    <xf numFmtId="0" fontId="10" fillId="0" borderId="23" xfId="0" applyFont="1" applyBorder="1" applyAlignment="1">
      <alignment horizontal="center" vertical="center" wrapText="1"/>
    </xf>
    <xf numFmtId="0" fontId="24" fillId="25" borderId="21" xfId="0" applyFont="1" applyFill="1" applyBorder="1" applyAlignment="1">
      <alignment vertical="center" wrapText="1"/>
    </xf>
    <xf numFmtId="0" fontId="10" fillId="25" borderId="21" xfId="0" applyFont="1" applyFill="1" applyBorder="1" applyAlignment="1">
      <alignment vertical="center" wrapText="1"/>
    </xf>
    <xf numFmtId="0" fontId="17" fillId="25" borderId="21" xfId="0" applyFont="1" applyFill="1" applyBorder="1" applyAlignment="1">
      <alignment horizontal="center" vertical="center" wrapText="1"/>
    </xf>
    <xf numFmtId="0" fontId="25" fillId="25" borderId="21" xfId="0" applyFont="1" applyFill="1" applyBorder="1" applyAlignment="1">
      <alignment horizontal="center" vertical="center" wrapText="1"/>
    </xf>
    <xf numFmtId="0" fontId="26" fillId="25" borderId="21" xfId="0" applyFont="1" applyFill="1" applyBorder="1" applyAlignment="1">
      <alignment horizontal="center" vertical="center" wrapText="1"/>
    </xf>
    <xf numFmtId="0" fontId="27" fillId="25" borderId="21" xfId="0" applyFont="1" applyFill="1" applyBorder="1" applyAlignment="1">
      <alignment horizontal="center" vertical="center" wrapText="1"/>
    </xf>
    <xf numFmtId="0" fontId="28" fillId="25" borderId="21" xfId="0" applyFont="1" applyFill="1" applyBorder="1" applyAlignment="1">
      <alignment horizontal="center" vertical="center" wrapText="1"/>
    </xf>
    <xf numFmtId="0" fontId="9" fillId="29" borderId="20" xfId="0" applyFont="1" applyFill="1" applyBorder="1" applyAlignment="1">
      <alignment vertical="center"/>
    </xf>
    <xf numFmtId="0" fontId="16" fillId="18" borderId="31" xfId="0" applyFont="1" applyFill="1" applyBorder="1" applyAlignment="1">
      <alignment horizontal="center" vertical="center" wrapText="1"/>
    </xf>
    <xf numFmtId="9" fontId="4" fillId="19" borderId="18" xfId="0" applyNumberFormat="1" applyFont="1" applyFill="1" applyBorder="1" applyAlignment="1">
      <alignment horizontal="center"/>
    </xf>
    <xf numFmtId="0" fontId="16" fillId="18" borderId="32" xfId="0" applyFont="1" applyFill="1" applyBorder="1" applyAlignment="1">
      <alignment horizontal="center" vertical="center" wrapText="1"/>
    </xf>
    <xf numFmtId="0" fontId="16" fillId="18" borderId="33" xfId="0" applyFont="1" applyFill="1" applyBorder="1" applyAlignment="1">
      <alignment horizontal="center" vertical="center" wrapText="1"/>
    </xf>
    <xf numFmtId="0" fontId="4" fillId="18" borderId="34" xfId="0" applyFont="1" applyFill="1" applyBorder="1" applyAlignment="1">
      <alignment horizontal="center"/>
    </xf>
    <xf numFmtId="0" fontId="4" fillId="18" borderId="35" xfId="0" applyFont="1" applyFill="1" applyBorder="1" applyAlignment="1">
      <alignment horizontal="center"/>
    </xf>
    <xf numFmtId="0" fontId="16" fillId="18" borderId="36" xfId="0" applyFont="1" applyFill="1" applyBorder="1" applyAlignment="1">
      <alignment horizontal="center" vertical="center" wrapText="1"/>
    </xf>
    <xf numFmtId="0" fontId="0" fillId="0" borderId="23" xfId="0" applyBorder="1"/>
    <xf numFmtId="9" fontId="16" fillId="19" borderId="19" xfId="0" applyNumberFormat="1" applyFont="1" applyFill="1" applyBorder="1" applyAlignment="1">
      <alignment horizontal="center" vertical="center" wrapText="1"/>
    </xf>
    <xf numFmtId="9" fontId="16" fillId="19" borderId="37" xfId="0" applyNumberFormat="1" applyFont="1" applyFill="1" applyBorder="1" applyAlignment="1">
      <alignment horizontal="center" vertical="center" wrapText="1"/>
    </xf>
    <xf numFmtId="9" fontId="16" fillId="19" borderId="38" xfId="0" applyNumberFormat="1" applyFont="1" applyFill="1" applyBorder="1" applyAlignment="1">
      <alignment horizontal="center" vertical="center" wrapText="1"/>
    </xf>
    <xf numFmtId="9" fontId="16" fillId="19" borderId="39" xfId="0" applyNumberFormat="1" applyFont="1" applyFill="1" applyBorder="1" applyAlignment="1">
      <alignment horizontal="center" vertical="center" wrapText="1"/>
    </xf>
    <xf numFmtId="0" fontId="16" fillId="18" borderId="40" xfId="0" applyFont="1" applyFill="1" applyBorder="1" applyAlignment="1">
      <alignment horizontal="center" vertical="center" wrapText="1"/>
    </xf>
    <xf numFmtId="9" fontId="16" fillId="19" borderId="41" xfId="0" applyNumberFormat="1" applyFont="1" applyFill="1" applyBorder="1" applyAlignment="1">
      <alignment horizontal="center" vertical="center" wrapText="1"/>
    </xf>
    <xf numFmtId="0" fontId="16" fillId="18" borderId="42" xfId="0" applyFont="1" applyFill="1" applyBorder="1" applyAlignment="1">
      <alignment horizontal="center" vertical="center" wrapText="1"/>
    </xf>
    <xf numFmtId="0" fontId="16" fillId="18" borderId="43" xfId="0" applyFont="1" applyFill="1" applyBorder="1" applyAlignment="1">
      <alignment horizontal="center" vertical="center" wrapText="1"/>
    </xf>
    <xf numFmtId="9" fontId="16" fillId="19" borderId="44" xfId="0" applyNumberFormat="1" applyFont="1" applyFill="1" applyBorder="1" applyAlignment="1">
      <alignment horizontal="center" vertical="center"/>
    </xf>
    <xf numFmtId="9" fontId="4" fillId="19" borderId="45" xfId="0" applyNumberFormat="1" applyFont="1" applyFill="1" applyBorder="1" applyAlignment="1">
      <alignment horizontal="center"/>
    </xf>
    <xf numFmtId="0" fontId="9" fillId="17" borderId="18" xfId="0" applyFont="1" applyFill="1" applyBorder="1"/>
    <xf numFmtId="9" fontId="4" fillId="19" borderId="46" xfId="0" applyNumberFormat="1" applyFont="1" applyFill="1" applyBorder="1" applyAlignment="1">
      <alignment horizontal="center"/>
    </xf>
    <xf numFmtId="0" fontId="24" fillId="0" borderId="23" xfId="0" applyFont="1" applyBorder="1" applyAlignment="1">
      <alignment vertical="center" wrapText="1"/>
    </xf>
    <xf numFmtId="0" fontId="8" fillId="0" borderId="23" xfId="0" applyFont="1" applyBorder="1" applyAlignment="1">
      <alignment vertical="center" wrapText="1"/>
    </xf>
    <xf numFmtId="0" fontId="25" fillId="0" borderId="23" xfId="0" applyFont="1" applyBorder="1" applyAlignment="1">
      <alignment horizontal="center" vertical="center" wrapText="1"/>
    </xf>
    <xf numFmtId="0" fontId="26" fillId="0" borderId="23" xfId="0" applyFont="1" applyBorder="1" applyAlignment="1">
      <alignment horizontal="center" vertical="center" wrapText="1"/>
    </xf>
    <xf numFmtId="0" fontId="27" fillId="0" borderId="23" xfId="0" applyFont="1" applyBorder="1" applyAlignment="1">
      <alignment horizontal="center" vertical="center" wrapText="1"/>
    </xf>
    <xf numFmtId="0" fontId="28" fillId="0" borderId="23" xfId="0" applyFont="1" applyBorder="1" applyAlignment="1">
      <alignment horizontal="center" vertical="center" wrapText="1"/>
    </xf>
    <xf numFmtId="0" fontId="24" fillId="25" borderId="47" xfId="0" applyFont="1" applyFill="1" applyBorder="1" applyAlignment="1">
      <alignment vertical="center" wrapText="1"/>
    </xf>
    <xf numFmtId="0" fontId="10" fillId="25" borderId="47" xfId="0" applyFont="1" applyFill="1" applyBorder="1" applyAlignment="1">
      <alignment vertical="center" wrapText="1"/>
    </xf>
    <xf numFmtId="0" fontId="25" fillId="25" borderId="47" xfId="0" applyFont="1" applyFill="1" applyBorder="1" applyAlignment="1">
      <alignment horizontal="center" vertical="center" wrapText="1"/>
    </xf>
    <xf numFmtId="0" fontId="26" fillId="25" borderId="47" xfId="0" applyFont="1" applyFill="1" applyBorder="1" applyAlignment="1">
      <alignment horizontal="center" vertical="center" wrapText="1"/>
    </xf>
    <xf numFmtId="0" fontId="27" fillId="25" borderId="47" xfId="0" applyFont="1" applyFill="1" applyBorder="1" applyAlignment="1">
      <alignment horizontal="center" vertical="center" wrapText="1"/>
    </xf>
    <xf numFmtId="0" fontId="28" fillId="25" borderId="48" xfId="0" applyFont="1" applyFill="1" applyBorder="1" applyAlignment="1">
      <alignment horizontal="center" vertical="center" wrapText="1"/>
    </xf>
    <xf numFmtId="0" fontId="24" fillId="0" borderId="49" xfId="0" applyFont="1" applyBorder="1" applyAlignment="1">
      <alignment vertical="center" wrapText="1"/>
    </xf>
    <xf numFmtId="0" fontId="8" fillId="0" borderId="49" xfId="0" applyFont="1" applyBorder="1" applyAlignment="1">
      <alignment vertical="center" wrapText="1"/>
    </xf>
    <xf numFmtId="0" fontId="25" fillId="0" borderId="49" xfId="0" applyFont="1" applyBorder="1" applyAlignment="1">
      <alignment horizontal="center" vertical="center" wrapText="1"/>
    </xf>
    <xf numFmtId="0" fontId="26" fillId="0" borderId="49" xfId="0" applyFont="1" applyBorder="1" applyAlignment="1">
      <alignment horizontal="center" vertical="center" wrapText="1"/>
    </xf>
    <xf numFmtId="0" fontId="27" fillId="0" borderId="49" xfId="0" applyFont="1" applyBorder="1" applyAlignment="1">
      <alignment horizontal="center" vertical="center" wrapText="1"/>
    </xf>
    <xf numFmtId="0" fontId="28" fillId="0" borderId="50" xfId="0" applyFont="1" applyBorder="1" applyAlignment="1">
      <alignment horizontal="center" vertical="center" wrapText="1"/>
    </xf>
    <xf numFmtId="0" fontId="22" fillId="15" borderId="51" xfId="0" applyFont="1" applyFill="1" applyBorder="1" applyAlignment="1">
      <alignment horizontal="center" vertical="center" wrapText="1"/>
    </xf>
    <xf numFmtId="0" fontId="22" fillId="15" borderId="52" xfId="0" applyFont="1" applyFill="1" applyBorder="1" applyAlignment="1">
      <alignment horizontal="center" vertical="center" wrapText="1"/>
    </xf>
    <xf numFmtId="0" fontId="22" fillId="15" borderId="53" xfId="0" applyFont="1" applyFill="1" applyBorder="1" applyAlignment="1">
      <alignment horizontal="center" vertical="center" wrapText="1"/>
    </xf>
    <xf numFmtId="0" fontId="23" fillId="16" borderId="23" xfId="0" applyFont="1" applyFill="1" applyBorder="1" applyAlignment="1">
      <alignment vertical="center" wrapText="1"/>
    </xf>
    <xf numFmtId="0" fontId="33" fillId="4" borderId="1" xfId="1" applyFont="1" applyFill="1" applyBorder="1" applyAlignment="1">
      <alignment horizontal="center" vertical="center"/>
    </xf>
    <xf numFmtId="0" fontId="33" fillId="30" borderId="1" xfId="1" applyFont="1" applyFill="1" applyBorder="1" applyAlignment="1">
      <alignment horizontal="center" vertical="center"/>
    </xf>
    <xf numFmtId="0" fontId="16" fillId="33" borderId="0" xfId="0" applyFont="1" applyFill="1" applyAlignment="1">
      <alignment horizontal="center" vertical="center"/>
    </xf>
    <xf numFmtId="0" fontId="30" fillId="0" borderId="0" xfId="0" applyFont="1" applyAlignment="1">
      <alignment horizontal="center" vertical="center"/>
    </xf>
    <xf numFmtId="0" fontId="3" fillId="31" borderId="0" xfId="0" applyFont="1" applyFill="1" applyAlignment="1">
      <alignment horizontal="center" vertical="center" wrapText="1"/>
    </xf>
    <xf numFmtId="9" fontId="0" fillId="0" borderId="0" xfId="0" applyNumberFormat="1"/>
    <xf numFmtId="0" fontId="9" fillId="37" borderId="55" xfId="0" applyFont="1" applyFill="1" applyBorder="1" applyAlignment="1">
      <alignment horizontal="center" vertical="center"/>
    </xf>
    <xf numFmtId="0" fontId="34" fillId="31" borderId="0" xfId="0" applyFont="1" applyFill="1" applyAlignment="1">
      <alignment horizontal="center"/>
    </xf>
    <xf numFmtId="2" fontId="9" fillId="37" borderId="55" xfId="0" applyNumberFormat="1" applyFont="1" applyFill="1" applyBorder="1" applyAlignment="1">
      <alignment horizontal="center" vertical="center"/>
    </xf>
    <xf numFmtId="9" fontId="18" fillId="0" borderId="0" xfId="0" applyNumberFormat="1" applyFont="1" applyAlignment="1">
      <alignment horizontal="center" vertical="center" wrapText="1"/>
    </xf>
    <xf numFmtId="0" fontId="0" fillId="39" borderId="0" xfId="0" applyFill="1"/>
    <xf numFmtId="0" fontId="33" fillId="12" borderId="17" xfId="1" applyFont="1" applyFill="1" applyBorder="1" applyAlignment="1">
      <alignment horizontal="centerContinuous" vertical="center"/>
    </xf>
    <xf numFmtId="0" fontId="16" fillId="43" borderId="0" xfId="0" applyFont="1" applyFill="1" applyAlignment="1">
      <alignment horizontal="center" vertical="center"/>
    </xf>
    <xf numFmtId="0" fontId="3" fillId="41" borderId="0" xfId="0" applyFont="1" applyFill="1" applyAlignment="1">
      <alignment horizontal="center" vertical="center" wrapText="1"/>
    </xf>
    <xf numFmtId="0" fontId="3" fillId="41" borderId="0" xfId="0" applyFont="1" applyFill="1" applyAlignment="1">
      <alignment horizontal="center" vertical="center"/>
    </xf>
    <xf numFmtId="0" fontId="36" fillId="0" borderId="21" xfId="0" applyFont="1" applyBorder="1" applyAlignment="1">
      <alignment horizontal="center" vertical="center" wrapText="1"/>
    </xf>
    <xf numFmtId="0" fontId="36" fillId="0" borderId="0" xfId="0" applyFont="1" applyAlignment="1">
      <alignment horizontal="center" vertical="center" wrapText="1"/>
    </xf>
    <xf numFmtId="0" fontId="36" fillId="25" borderId="47" xfId="0" applyFont="1" applyFill="1" applyBorder="1" applyAlignment="1">
      <alignment horizontal="center" vertical="center" wrapText="1"/>
    </xf>
    <xf numFmtId="0" fontId="36" fillId="0" borderId="49" xfId="0" applyFont="1" applyBorder="1" applyAlignment="1">
      <alignment horizontal="center" vertical="center" wrapText="1"/>
    </xf>
    <xf numFmtId="0" fontId="36" fillId="25" borderId="21" xfId="0" applyFont="1" applyFill="1" applyBorder="1" applyAlignment="1">
      <alignment horizontal="center" vertical="center" wrapText="1"/>
    </xf>
    <xf numFmtId="0" fontId="16" fillId="50" borderId="0" xfId="0" applyFont="1" applyFill="1" applyAlignment="1">
      <alignment horizontal="center"/>
    </xf>
    <xf numFmtId="0" fontId="30" fillId="0" borderId="0" xfId="0" applyFont="1" applyAlignment="1">
      <alignment horizontal="center"/>
    </xf>
    <xf numFmtId="0" fontId="3" fillId="47" borderId="0" xfId="0" applyFont="1" applyFill="1" applyAlignment="1">
      <alignment horizontal="center" vertical="center" wrapText="1"/>
    </xf>
    <xf numFmtId="0" fontId="5" fillId="52" borderId="65" xfId="0" applyFont="1" applyFill="1" applyBorder="1" applyAlignment="1">
      <alignment horizontal="center" vertical="center"/>
    </xf>
    <xf numFmtId="0" fontId="5" fillId="52" borderId="67" xfId="0" applyFont="1" applyFill="1" applyBorder="1" applyAlignment="1">
      <alignment horizontal="center" vertical="center"/>
    </xf>
    <xf numFmtId="164" fontId="5" fillId="52" borderId="65" xfId="0" applyNumberFormat="1" applyFont="1" applyFill="1" applyBorder="1" applyAlignment="1">
      <alignment horizontal="center" vertical="center"/>
    </xf>
    <xf numFmtId="0" fontId="38" fillId="0" borderId="0" xfId="0" applyFont="1" applyAlignment="1">
      <alignment horizontal="center"/>
    </xf>
    <xf numFmtId="164" fontId="9" fillId="54" borderId="55" xfId="0" applyNumberFormat="1" applyFont="1" applyFill="1" applyBorder="1" applyAlignment="1">
      <alignment horizontal="center" vertical="center"/>
    </xf>
    <xf numFmtId="164" fontId="9" fillId="56" borderId="68" xfId="0" applyNumberFormat="1" applyFont="1" applyFill="1" applyBorder="1" applyAlignment="1">
      <alignment horizontal="center" vertical="center"/>
    </xf>
    <xf numFmtId="164" fontId="5" fillId="52" borderId="67" xfId="0" applyNumberFormat="1" applyFont="1" applyFill="1" applyBorder="1" applyAlignment="1">
      <alignment horizontal="center" vertical="center"/>
    </xf>
    <xf numFmtId="0" fontId="5" fillId="0" borderId="61" xfId="0" applyFont="1" applyBorder="1" applyAlignment="1">
      <alignment horizontal="center" vertical="center"/>
    </xf>
    <xf numFmtId="164" fontId="5" fillId="0" borderId="62" xfId="0" applyNumberFormat="1" applyFont="1" applyBorder="1" applyAlignment="1">
      <alignment horizontal="center" vertical="center"/>
    </xf>
    <xf numFmtId="0" fontId="5" fillId="0" borderId="63" xfId="0" applyFont="1" applyBorder="1" applyAlignment="1">
      <alignment horizontal="center" vertical="center"/>
    </xf>
    <xf numFmtId="164" fontId="5" fillId="0" borderId="64" xfId="0" applyNumberFormat="1" applyFont="1" applyBorder="1" applyAlignment="1">
      <alignment horizontal="center" vertical="center"/>
    </xf>
    <xf numFmtId="0" fontId="39" fillId="0" borderId="59" xfId="0" applyFont="1" applyBorder="1" applyAlignment="1">
      <alignment horizontal="center" vertical="center"/>
    </xf>
    <xf numFmtId="0" fontId="39" fillId="0" borderId="60" xfId="0" applyFont="1" applyBorder="1" applyAlignment="1">
      <alignment horizontal="center" vertical="center"/>
    </xf>
    <xf numFmtId="0" fontId="5" fillId="0" borderId="0" xfId="0" applyFont="1" applyAlignment="1">
      <alignment horizontal="center" vertical="center"/>
    </xf>
    <xf numFmtId="0" fontId="5" fillId="0" borderId="67" xfId="0" applyFont="1" applyBorder="1" applyAlignment="1">
      <alignment horizontal="center" vertical="center"/>
    </xf>
    <xf numFmtId="0" fontId="39" fillId="0" borderId="66" xfId="0" applyFont="1" applyBorder="1" applyAlignment="1">
      <alignment horizontal="center" vertical="center"/>
    </xf>
    <xf numFmtId="0" fontId="4" fillId="46" borderId="0" xfId="0" applyFont="1" applyFill="1" applyAlignment="1">
      <alignment horizontal="center" vertical="center"/>
    </xf>
    <xf numFmtId="0" fontId="5" fillId="0" borderId="0" xfId="0" applyFont="1"/>
    <xf numFmtId="0" fontId="16" fillId="60" borderId="0" xfId="0" applyFont="1" applyFill="1" applyAlignment="1">
      <alignment horizontal="center"/>
    </xf>
    <xf numFmtId="0" fontId="3" fillId="57" borderId="0" xfId="0" applyFont="1" applyFill="1" applyAlignment="1">
      <alignment horizontal="center" wrapText="1"/>
    </xf>
    <xf numFmtId="0" fontId="5" fillId="0" borderId="70" xfId="0" applyFont="1" applyBorder="1" applyAlignment="1">
      <alignment horizontal="center"/>
    </xf>
    <xf numFmtId="0" fontId="16" fillId="66" borderId="0" xfId="0" applyFont="1" applyFill="1" applyAlignment="1">
      <alignment horizontal="center" vertical="center"/>
    </xf>
    <xf numFmtId="0" fontId="3" fillId="63" borderId="0" xfId="0" applyFont="1" applyFill="1" applyAlignment="1">
      <alignment horizontal="center" vertical="center" wrapText="1"/>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38" fillId="0" borderId="0" xfId="0" applyFont="1" applyAlignment="1">
      <alignment horizontal="center" vertical="center"/>
    </xf>
    <xf numFmtId="0" fontId="40" fillId="0" borderId="0" xfId="0" applyFont="1" applyAlignment="1">
      <alignment horizontal="center" vertical="center"/>
    </xf>
    <xf numFmtId="0" fontId="34" fillId="69" borderId="0" xfId="0" applyFont="1" applyFill="1"/>
    <xf numFmtId="0" fontId="34" fillId="69" borderId="0" xfId="0" applyFont="1" applyFill="1" applyAlignment="1">
      <alignment wrapText="1"/>
    </xf>
    <xf numFmtId="0" fontId="16" fillId="72" borderId="0" xfId="0" applyFont="1" applyFill="1" applyAlignment="1">
      <alignment horizontal="center"/>
    </xf>
    <xf numFmtId="0" fontId="3" fillId="69" borderId="0" xfId="0" applyFont="1" applyFill="1"/>
    <xf numFmtId="0" fontId="3" fillId="69" borderId="0" xfId="0" applyFont="1" applyFill="1" applyAlignment="1">
      <alignment wrapText="1"/>
    </xf>
    <xf numFmtId="0" fontId="3" fillId="69" borderId="0" xfId="0" applyFont="1" applyFill="1" applyAlignment="1">
      <alignment horizontal="center" wrapText="1"/>
    </xf>
    <xf numFmtId="0" fontId="9" fillId="71" borderId="0" xfId="0" applyFont="1" applyFill="1" applyAlignment="1">
      <alignment horizontal="center"/>
    </xf>
    <xf numFmtId="0" fontId="3" fillId="69" borderId="0" xfId="0" applyFont="1" applyFill="1" applyAlignment="1">
      <alignment horizontal="center"/>
    </xf>
    <xf numFmtId="165" fontId="0" fillId="0" borderId="70" xfId="0" applyNumberFormat="1" applyBorder="1" applyAlignment="1">
      <alignment horizontal="center"/>
    </xf>
    <xf numFmtId="165" fontId="0" fillId="0" borderId="71" xfId="0" applyNumberFormat="1" applyBorder="1" applyAlignment="1">
      <alignment horizontal="center"/>
    </xf>
    <xf numFmtId="165" fontId="0" fillId="0" borderId="75" xfId="0" applyNumberFormat="1" applyBorder="1" applyAlignment="1">
      <alignment horizontal="center"/>
    </xf>
    <xf numFmtId="0" fontId="41" fillId="0" borderId="0" xfId="0" applyFont="1"/>
    <xf numFmtId="0" fontId="42" fillId="74" borderId="0" xfId="0" applyFont="1" applyFill="1" applyAlignment="1">
      <alignment horizontal="center"/>
    </xf>
    <xf numFmtId="0" fontId="34" fillId="69" borderId="76" xfId="0" applyFont="1" applyFill="1" applyBorder="1" applyAlignment="1">
      <alignment horizontal="center" wrapText="1"/>
    </xf>
    <xf numFmtId="0" fontId="34" fillId="69" borderId="77" xfId="0" applyFont="1" applyFill="1" applyBorder="1" applyAlignment="1">
      <alignment horizontal="center" wrapText="1"/>
    </xf>
    <xf numFmtId="0" fontId="34" fillId="69" borderId="78" xfId="0" applyFont="1" applyFill="1" applyBorder="1" applyAlignment="1">
      <alignment horizontal="center" wrapText="1"/>
    </xf>
    <xf numFmtId="0" fontId="42" fillId="71" borderId="0" xfId="0" applyFont="1" applyFill="1" applyAlignment="1">
      <alignment horizontal="center"/>
    </xf>
    <xf numFmtId="0" fontId="34" fillId="69" borderId="0" xfId="0" applyFont="1" applyFill="1" applyAlignment="1">
      <alignment horizontal="center"/>
    </xf>
    <xf numFmtId="0" fontId="43" fillId="0" borderId="0" xfId="0" applyFont="1" applyAlignment="1">
      <alignment horizontal="center"/>
    </xf>
    <xf numFmtId="0" fontId="41" fillId="75" borderId="88" xfId="0" applyFont="1" applyFill="1" applyBorder="1" applyAlignment="1">
      <alignment horizontal="center"/>
    </xf>
    <xf numFmtId="166" fontId="41" fillId="75" borderId="89" xfId="0" applyNumberFormat="1" applyFont="1" applyFill="1" applyBorder="1" applyAlignment="1">
      <alignment horizontal="center"/>
    </xf>
    <xf numFmtId="0" fontId="41" fillId="75" borderId="90" xfId="0" applyFont="1" applyFill="1" applyBorder="1" applyAlignment="1">
      <alignment horizontal="center"/>
    </xf>
    <xf numFmtId="0" fontId="41" fillId="76" borderId="0" xfId="0" applyFont="1" applyFill="1"/>
    <xf numFmtId="0" fontId="4" fillId="79" borderId="0" xfId="0" applyFont="1" applyFill="1" applyAlignment="1">
      <alignment horizontal="center" vertical="center"/>
    </xf>
    <xf numFmtId="0" fontId="44" fillId="76" borderId="0" xfId="0" applyFont="1" applyFill="1" applyAlignment="1">
      <alignment horizontal="center" vertical="center"/>
    </xf>
    <xf numFmtId="0" fontId="34" fillId="80" borderId="0" xfId="0" applyFont="1" applyFill="1" applyAlignment="1">
      <alignment horizontal="center" vertical="center"/>
    </xf>
    <xf numFmtId="0" fontId="4" fillId="81" borderId="0" xfId="0" applyFont="1" applyFill="1" applyAlignment="1">
      <alignment horizontal="center" vertical="center"/>
    </xf>
    <xf numFmtId="0" fontId="34" fillId="80" borderId="0" xfId="0" applyFont="1" applyFill="1" applyAlignment="1">
      <alignment horizontal="center" vertical="center" wrapText="1"/>
    </xf>
    <xf numFmtId="0" fontId="34" fillId="80" borderId="0" xfId="0" applyFont="1" applyFill="1" applyAlignment="1">
      <alignment vertical="center" wrapText="1"/>
    </xf>
    <xf numFmtId="0" fontId="35" fillId="80" borderId="0" xfId="0" applyFont="1" applyFill="1" applyAlignment="1">
      <alignment horizontal="center" vertical="center"/>
    </xf>
    <xf numFmtId="0" fontId="9" fillId="81" borderId="55" xfId="0" applyFont="1" applyFill="1" applyBorder="1" applyAlignment="1">
      <alignment horizontal="center" vertical="center"/>
    </xf>
    <xf numFmtId="0" fontId="3" fillId="80" borderId="0" xfId="0" applyFont="1" applyFill="1" applyAlignment="1">
      <alignment horizontal="center" vertical="center"/>
    </xf>
    <xf numFmtId="0" fontId="3" fillId="80" borderId="0" xfId="0" applyFont="1" applyFill="1" applyAlignment="1">
      <alignment horizontal="center" vertical="center" wrapText="1"/>
    </xf>
    <xf numFmtId="0" fontId="9" fillId="81" borderId="0" xfId="0" applyFont="1" applyFill="1" applyAlignment="1">
      <alignment horizontal="center" vertical="center"/>
    </xf>
    <xf numFmtId="0" fontId="42" fillId="76" borderId="0" xfId="0" applyFont="1" applyFill="1" applyAlignment="1">
      <alignment vertical="center" wrapText="1"/>
    </xf>
    <xf numFmtId="0" fontId="45" fillId="76" borderId="0" xfId="0" applyFont="1" applyFill="1" applyAlignment="1">
      <alignment vertical="center"/>
    </xf>
    <xf numFmtId="0" fontId="4" fillId="85" borderId="0" xfId="0" applyFont="1" applyFill="1" applyAlignment="1">
      <alignment horizontal="center"/>
    </xf>
    <xf numFmtId="0" fontId="44" fillId="86" borderId="0" xfId="0" applyFont="1" applyFill="1" applyAlignment="1">
      <alignment horizontal="center"/>
    </xf>
    <xf numFmtId="0" fontId="34" fillId="88" borderId="0" xfId="0" applyFont="1" applyFill="1" applyAlignment="1">
      <alignment wrapText="1"/>
    </xf>
    <xf numFmtId="0" fontId="34" fillId="88" borderId="0" xfId="0" applyFont="1" applyFill="1" applyAlignment="1">
      <alignment horizontal="center" wrapText="1"/>
    </xf>
    <xf numFmtId="0" fontId="34" fillId="88" borderId="59" xfId="0" applyFont="1" applyFill="1" applyBorder="1" applyAlignment="1">
      <alignment horizontal="center" wrapText="1"/>
    </xf>
    <xf numFmtId="0" fontId="34" fillId="88" borderId="70" xfId="0" applyFont="1" applyFill="1" applyBorder="1" applyAlignment="1">
      <alignment horizontal="center" wrapText="1"/>
    </xf>
    <xf numFmtId="166" fontId="42" fillId="0" borderId="70" xfId="0" applyNumberFormat="1" applyFont="1" applyBorder="1" applyAlignment="1">
      <alignment horizontal="center"/>
    </xf>
    <xf numFmtId="166" fontId="42" fillId="0" borderId="71" xfId="0" applyNumberFormat="1" applyFont="1" applyBorder="1" applyAlignment="1">
      <alignment horizontal="center"/>
    </xf>
    <xf numFmtId="166" fontId="42" fillId="0" borderId="75" xfId="0" applyNumberFormat="1" applyFont="1" applyBorder="1" applyAlignment="1">
      <alignment horizontal="center"/>
    </xf>
    <xf numFmtId="0" fontId="34" fillId="88" borderId="0" xfId="0" applyFont="1" applyFill="1" applyAlignment="1">
      <alignment horizontal="center"/>
    </xf>
    <xf numFmtId="0" fontId="46" fillId="89" borderId="0" xfId="0" applyFont="1" applyFill="1" applyAlignment="1">
      <alignment horizontal="center"/>
    </xf>
    <xf numFmtId="0" fontId="47" fillId="0" borderId="0" xfId="0" applyFont="1" applyAlignment="1">
      <alignment wrapText="1"/>
    </xf>
    <xf numFmtId="0" fontId="41" fillId="0" borderId="0" xfId="0" applyFont="1" applyAlignment="1">
      <alignment wrapText="1"/>
    </xf>
    <xf numFmtId="0" fontId="4" fillId="85" borderId="0" xfId="0" applyFont="1" applyFill="1" applyAlignment="1">
      <alignment horizontal="center" wrapText="1"/>
    </xf>
    <xf numFmtId="0" fontId="48" fillId="0" borderId="0" xfId="0" applyFont="1" applyAlignment="1">
      <alignment horizontal="center"/>
    </xf>
    <xf numFmtId="0" fontId="4" fillId="89" borderId="0" xfId="0" applyFont="1" applyFill="1" applyAlignment="1">
      <alignment horizontal="center" wrapText="1"/>
    </xf>
    <xf numFmtId="0" fontId="41" fillId="0" borderId="65" xfId="0" applyFont="1" applyBorder="1" applyAlignment="1">
      <alignment horizontal="center" wrapText="1"/>
    </xf>
    <xf numFmtId="0" fontId="49" fillId="0" borderId="0" xfId="0" applyFont="1" applyAlignment="1">
      <alignment horizontal="center"/>
    </xf>
    <xf numFmtId="0" fontId="50" fillId="0" borderId="0" xfId="0" applyFont="1" applyAlignment="1">
      <alignment horizontal="center"/>
    </xf>
    <xf numFmtId="0" fontId="46" fillId="89" borderId="0" xfId="0" applyFont="1" applyFill="1" applyAlignment="1">
      <alignment horizontal="center" wrapText="1"/>
    </xf>
    <xf numFmtId="166" fontId="41" fillId="0" borderId="70" xfId="0" applyNumberFormat="1" applyFont="1" applyBorder="1" applyAlignment="1">
      <alignment horizontal="center" wrapText="1"/>
    </xf>
    <xf numFmtId="0" fontId="41" fillId="0" borderId="71" xfId="0" applyFont="1" applyBorder="1" applyAlignment="1">
      <alignment horizontal="center" wrapText="1"/>
    </xf>
    <xf numFmtId="9" fontId="41" fillId="0" borderId="75" xfId="0" applyNumberFormat="1" applyFont="1" applyBorder="1" applyAlignment="1">
      <alignment horizontal="center" wrapText="1"/>
    </xf>
    <xf numFmtId="0" fontId="44" fillId="86" borderId="0" xfId="0" applyFont="1" applyFill="1" applyAlignment="1">
      <alignment horizontal="center" wrapText="1"/>
    </xf>
    <xf numFmtId="0" fontId="4" fillId="91" borderId="35" xfId="0" applyFont="1" applyFill="1" applyBorder="1" applyAlignment="1">
      <alignment horizontal="center"/>
    </xf>
    <xf numFmtId="0" fontId="4" fillId="85" borderId="46" xfId="0" applyFont="1" applyFill="1" applyBorder="1" applyAlignment="1">
      <alignment horizontal="center"/>
    </xf>
    <xf numFmtId="0" fontId="47" fillId="0" borderId="21" xfId="0" applyFont="1" applyBorder="1" applyAlignment="1">
      <alignment wrapText="1"/>
    </xf>
    <xf numFmtId="0" fontId="41" fillId="0" borderId="21" xfId="0" applyFont="1" applyBorder="1" applyAlignment="1">
      <alignment wrapText="1"/>
    </xf>
    <xf numFmtId="0" fontId="51" fillId="0" borderId="21" xfId="0" applyFont="1" applyBorder="1" applyAlignment="1">
      <alignment horizontal="center" wrapText="1"/>
    </xf>
    <xf numFmtId="0" fontId="49" fillId="0" borderId="21" xfId="0" applyFont="1" applyBorder="1" applyAlignment="1">
      <alignment horizontal="center" wrapText="1"/>
    </xf>
    <xf numFmtId="0" fontId="52" fillId="0" borderId="21" xfId="0" applyFont="1" applyBorder="1" applyAlignment="1">
      <alignment horizontal="center" wrapText="1"/>
    </xf>
    <xf numFmtId="0" fontId="53" fillId="0" borderId="21" xfId="0" applyFont="1" applyBorder="1" applyAlignment="1">
      <alignment horizontal="center" wrapText="1"/>
    </xf>
    <xf numFmtId="0" fontId="54" fillId="0" borderId="21" xfId="0" applyFont="1" applyBorder="1" applyAlignment="1">
      <alignment horizontal="center" wrapText="1"/>
    </xf>
    <xf numFmtId="0" fontId="4" fillId="91" borderId="42" xfId="0" applyFont="1" applyFill="1" applyBorder="1" applyAlignment="1">
      <alignment horizontal="center" wrapText="1"/>
    </xf>
    <xf numFmtId="0" fontId="4" fillId="85" borderId="41" xfId="0" applyFont="1" applyFill="1" applyBorder="1" applyAlignment="1">
      <alignment horizontal="center" wrapText="1"/>
    </xf>
    <xf numFmtId="0" fontId="4" fillId="91" borderId="32" xfId="0" applyFont="1" applyFill="1" applyBorder="1" applyAlignment="1">
      <alignment horizontal="center" wrapText="1"/>
    </xf>
    <xf numFmtId="0" fontId="4" fillId="85" borderId="37" xfId="0" applyFont="1" applyFill="1" applyBorder="1" applyAlignment="1">
      <alignment horizontal="center" wrapText="1"/>
    </xf>
    <xf numFmtId="0" fontId="34" fillId="94" borderId="92" xfId="0" applyFont="1" applyFill="1" applyBorder="1" applyAlignment="1">
      <alignment horizontal="center" vertical="center" wrapText="1"/>
    </xf>
    <xf numFmtId="0" fontId="41" fillId="76" borderId="91" xfId="0" applyFont="1" applyFill="1" applyBorder="1" applyAlignment="1">
      <alignment horizontal="center" vertical="center"/>
    </xf>
    <xf numFmtId="0" fontId="34" fillId="0" borderId="91" xfId="0" applyFont="1" applyBorder="1" applyAlignment="1">
      <alignment horizontal="center" vertical="center" wrapText="1"/>
    </xf>
    <xf numFmtId="0" fontId="55" fillId="0" borderId="0" xfId="0" applyFont="1" applyAlignment="1">
      <alignment horizontal="center"/>
    </xf>
    <xf numFmtId="0" fontId="56" fillId="0" borderId="0" xfId="0" applyFont="1" applyAlignment="1">
      <alignment horizontal="center"/>
    </xf>
    <xf numFmtId="0" fontId="34" fillId="97" borderId="98" xfId="0" applyFont="1" applyFill="1" applyBorder="1" applyAlignment="1">
      <alignment horizontal="center" vertical="center" wrapText="1"/>
    </xf>
    <xf numFmtId="0" fontId="34" fillId="97" borderId="0" xfId="0" applyFont="1" applyFill="1" applyAlignment="1">
      <alignment horizontal="center" vertical="center"/>
    </xf>
    <xf numFmtId="0" fontId="46" fillId="98" borderId="0" xfId="0" applyFont="1" applyFill="1" applyAlignment="1">
      <alignment horizontal="center" vertical="center"/>
    </xf>
    <xf numFmtId="0" fontId="34" fillId="97" borderId="99" xfId="0" applyFont="1" applyFill="1" applyBorder="1" applyAlignment="1">
      <alignment horizontal="center" vertical="center" wrapText="1"/>
    </xf>
    <xf numFmtId="0" fontId="34" fillId="97" borderId="101" xfId="0" applyFont="1" applyFill="1" applyBorder="1" applyAlignment="1">
      <alignment horizontal="center" vertical="center" wrapText="1"/>
    </xf>
    <xf numFmtId="166" fontId="58" fillId="0" borderId="99" xfId="0" applyNumberFormat="1" applyFont="1" applyBorder="1" applyAlignment="1">
      <alignment horizontal="center" vertical="center"/>
    </xf>
    <xf numFmtId="0" fontId="58" fillId="0" borderId="101" xfId="0" applyFont="1" applyBorder="1" applyAlignment="1">
      <alignment horizontal="center" vertical="center"/>
    </xf>
    <xf numFmtId="0" fontId="58" fillId="0" borderId="99" xfId="0" applyFont="1" applyBorder="1" applyAlignment="1">
      <alignment horizontal="center" vertical="center"/>
    </xf>
    <xf numFmtId="166" fontId="58" fillId="0" borderId="98" xfId="0" applyNumberFormat="1" applyFont="1" applyBorder="1" applyAlignment="1">
      <alignment horizontal="center" vertical="center"/>
    </xf>
    <xf numFmtId="9" fontId="58" fillId="0" borderId="101" xfId="0" applyNumberFormat="1" applyFont="1" applyBorder="1" applyAlignment="1">
      <alignment horizontal="center" vertical="center"/>
    </xf>
    <xf numFmtId="0" fontId="34" fillId="97" borderId="100" xfId="0" applyFont="1" applyFill="1" applyBorder="1" applyAlignment="1">
      <alignment horizontal="center" vertical="center" wrapText="1"/>
    </xf>
    <xf numFmtId="0" fontId="58" fillId="0" borderId="82" xfId="0" applyFont="1" applyBorder="1" applyAlignment="1">
      <alignment horizontal="center" vertical="center"/>
    </xf>
    <xf numFmtId="0" fontId="58" fillId="0" borderId="84" xfId="0" applyFont="1" applyBorder="1" applyAlignment="1">
      <alignment horizontal="center" vertical="center"/>
    </xf>
    <xf numFmtId="0" fontId="59" fillId="0" borderId="0" xfId="0" applyFont="1" applyAlignment="1">
      <alignment horizontal="center"/>
    </xf>
    <xf numFmtId="0" fontId="58" fillId="0" borderId="83" xfId="0" applyFont="1" applyBorder="1" applyAlignment="1">
      <alignment horizontal="center" vertical="center"/>
    </xf>
    <xf numFmtId="0" fontId="58" fillId="0" borderId="86" xfId="0" applyFont="1" applyBorder="1" applyAlignment="1">
      <alignment horizontal="center" vertical="center"/>
    </xf>
    <xf numFmtId="0" fontId="58" fillId="0" borderId="98" xfId="0" applyFont="1" applyBorder="1" applyAlignment="1">
      <alignment horizontal="center" vertical="center"/>
    </xf>
    <xf numFmtId="0" fontId="58" fillId="0" borderId="100" xfId="0" applyFont="1" applyBorder="1" applyAlignment="1">
      <alignment horizontal="center" vertical="center"/>
    </xf>
    <xf numFmtId="166" fontId="58" fillId="0" borderId="101" xfId="0" applyNumberFormat="1" applyFont="1" applyBorder="1" applyAlignment="1">
      <alignment horizontal="center" vertical="center"/>
    </xf>
    <xf numFmtId="0" fontId="34" fillId="97" borderId="87" xfId="0" applyFont="1" applyFill="1" applyBorder="1" applyAlignment="1">
      <alignment horizontal="center" vertical="center" wrapText="1"/>
    </xf>
    <xf numFmtId="169" fontId="58" fillId="0" borderId="99" xfId="0" applyNumberFormat="1" applyFont="1" applyBorder="1" applyAlignment="1">
      <alignment horizontal="center" vertical="center"/>
    </xf>
    <xf numFmtId="169" fontId="58" fillId="0" borderId="98" xfId="0" applyNumberFormat="1" applyFont="1" applyBorder="1" applyAlignment="1">
      <alignment horizontal="center" vertical="center"/>
    </xf>
    <xf numFmtId="0" fontId="34" fillId="0" borderId="0" xfId="0" applyFont="1" applyAlignment="1">
      <alignment horizontal="center" vertical="center"/>
    </xf>
    <xf numFmtId="0" fontId="46" fillId="0" borderId="0" xfId="0" applyFont="1" applyAlignment="1">
      <alignment horizontal="center" vertical="center"/>
    </xf>
    <xf numFmtId="0" fontId="0" fillId="0" borderId="0" xfId="0" applyAlignment="1">
      <alignment wrapText="1"/>
    </xf>
    <xf numFmtId="0" fontId="34" fillId="94" borderId="0" xfId="0" applyFont="1" applyFill="1" applyAlignment="1">
      <alignment horizontal="center" vertical="center" wrapText="1"/>
    </xf>
    <xf numFmtId="0" fontId="4" fillId="0" borderId="0" xfId="0" applyFont="1" applyAlignment="1">
      <alignment horizontal="center" vertical="center" wrapText="1"/>
    </xf>
    <xf numFmtId="0" fontId="56" fillId="0" borderId="0" xfId="0" applyFont="1" applyAlignment="1">
      <alignment horizontal="center" vertical="center" wrapText="1"/>
    </xf>
    <xf numFmtId="0" fontId="46" fillId="98" borderId="0" xfId="0" applyFont="1" applyFill="1" applyAlignment="1">
      <alignment horizontal="center" vertical="center" wrapText="1"/>
    </xf>
    <xf numFmtId="0" fontId="59" fillId="0" borderId="0" xfId="0" applyFont="1" applyAlignment="1">
      <alignment horizontal="center" vertical="center" wrapText="1"/>
    </xf>
    <xf numFmtId="0" fontId="5" fillId="36" borderId="24" xfId="0" applyFont="1" applyFill="1" applyBorder="1" applyAlignment="1" applyProtection="1">
      <alignment horizontal="center" vertical="center"/>
      <protection locked="0"/>
    </xf>
    <xf numFmtId="0" fontId="5" fillId="36" borderId="26" xfId="0" applyFont="1" applyFill="1" applyBorder="1" applyAlignment="1" applyProtection="1">
      <alignment horizontal="center" vertical="center"/>
      <protection locked="0"/>
    </xf>
    <xf numFmtId="0" fontId="5" fillId="36" borderId="25" xfId="0" applyFont="1" applyFill="1" applyBorder="1" applyAlignment="1" applyProtection="1">
      <alignment horizontal="center" vertical="center"/>
      <protection locked="0"/>
    </xf>
    <xf numFmtId="0" fontId="5" fillId="36" borderId="56" xfId="0" applyFont="1" applyFill="1" applyBorder="1" applyAlignment="1" applyProtection="1">
      <alignment horizontal="center" vertical="center"/>
      <protection locked="0"/>
    </xf>
    <xf numFmtId="0" fontId="8" fillId="0" borderId="91" xfId="0" applyFont="1" applyBorder="1" applyAlignment="1">
      <alignment vertical="center" wrapText="1"/>
    </xf>
    <xf numFmtId="0" fontId="0" fillId="0" borderId="70" xfId="0" applyBorder="1" applyAlignment="1">
      <alignment horizontal="center" vertical="center"/>
    </xf>
    <xf numFmtId="9" fontId="0" fillId="0" borderId="71" xfId="0" applyNumberFormat="1" applyBorder="1" applyAlignment="1">
      <alignment horizontal="center" vertical="center"/>
    </xf>
    <xf numFmtId="0" fontId="4" fillId="35" borderId="75" xfId="0" applyFont="1" applyFill="1" applyBorder="1" applyAlignment="1">
      <alignment horizontal="center" vertical="center"/>
    </xf>
    <xf numFmtId="0" fontId="0" fillId="0" borderId="94" xfId="0" applyBorder="1" applyAlignment="1">
      <alignment horizontal="center" vertical="center"/>
    </xf>
    <xf numFmtId="0" fontId="0" fillId="0" borderId="67" xfId="0" applyBorder="1" applyAlignment="1">
      <alignment horizontal="center" vertical="center"/>
    </xf>
    <xf numFmtId="0" fontId="4" fillId="35" borderId="103" xfId="0" applyFont="1" applyFill="1" applyBorder="1" applyAlignment="1">
      <alignment horizontal="center" vertical="center"/>
    </xf>
    <xf numFmtId="0" fontId="4" fillId="35" borderId="102" xfId="0" applyFont="1" applyFill="1" applyBorder="1" applyAlignment="1">
      <alignment horizontal="center" vertical="center"/>
    </xf>
    <xf numFmtId="9" fontId="0" fillId="0" borderId="103" xfId="0" applyNumberFormat="1" applyBorder="1" applyAlignment="1">
      <alignment horizontal="center" vertical="center"/>
    </xf>
    <xf numFmtId="9" fontId="0" fillId="0" borderId="65" xfId="0" applyNumberFormat="1" applyBorder="1" applyAlignment="1">
      <alignment horizontal="center" vertical="center"/>
    </xf>
    <xf numFmtId="164" fontId="5" fillId="36" borderId="57" xfId="0" applyNumberFormat="1" applyFont="1" applyFill="1" applyBorder="1" applyAlignment="1" applyProtection="1">
      <alignment horizontal="center" vertical="center"/>
      <protection locked="0"/>
    </xf>
    <xf numFmtId="164" fontId="5" fillId="36" borderId="56" xfId="0" applyNumberFormat="1" applyFont="1" applyFill="1" applyBorder="1" applyAlignment="1" applyProtection="1">
      <alignment horizontal="center" vertical="center"/>
      <protection locked="0"/>
    </xf>
    <xf numFmtId="0" fontId="0" fillId="0" borderId="102" xfId="0" applyBorder="1" applyAlignment="1">
      <alignment horizontal="center" vertical="center"/>
    </xf>
    <xf numFmtId="0" fontId="0" fillId="38" borderId="105" xfId="0" applyFill="1" applyBorder="1"/>
    <xf numFmtId="49" fontId="0" fillId="0" borderId="71" xfId="0" applyNumberFormat="1" applyBorder="1" applyAlignment="1">
      <alignment horizontal="center" vertical="center"/>
    </xf>
    <xf numFmtId="14" fontId="0" fillId="0" borderId="71" xfId="0" applyNumberFormat="1" applyBorder="1" applyAlignment="1">
      <alignment horizontal="center" vertical="center"/>
    </xf>
    <xf numFmtId="0" fontId="0" fillId="0" borderId="71" xfId="0" applyBorder="1" applyAlignment="1">
      <alignment horizontal="center" vertical="center"/>
    </xf>
    <xf numFmtId="0" fontId="0" fillId="0" borderId="75" xfId="0" applyBorder="1" applyAlignment="1">
      <alignment horizontal="center" vertical="center"/>
    </xf>
    <xf numFmtId="0" fontId="4" fillId="46" borderId="65" xfId="0" applyFont="1" applyFill="1" applyBorder="1"/>
    <xf numFmtId="0" fontId="4" fillId="46" borderId="65" xfId="0" applyFont="1" applyFill="1" applyBorder="1" applyAlignment="1">
      <alignment horizontal="center" vertical="center"/>
    </xf>
    <xf numFmtId="164" fontId="0" fillId="0" borderId="104" xfId="0" applyNumberFormat="1" applyBorder="1" applyAlignment="1">
      <alignment horizontal="center" vertical="center"/>
    </xf>
    <xf numFmtId="0" fontId="0" fillId="0" borderId="70" xfId="0" applyBorder="1"/>
    <xf numFmtId="0" fontId="0" fillId="0" borderId="91" xfId="0" applyBorder="1"/>
    <xf numFmtId="0" fontId="5" fillId="45" borderId="108" xfId="0" applyFont="1" applyFill="1" applyBorder="1" applyAlignment="1" applyProtection="1">
      <alignment horizontal="center" vertical="center"/>
      <protection locked="0"/>
    </xf>
    <xf numFmtId="0" fontId="5" fillId="45" borderId="106" xfId="0" applyFont="1" applyFill="1" applyBorder="1" applyAlignment="1" applyProtection="1">
      <alignment horizontal="center" vertical="center"/>
      <protection locked="0"/>
    </xf>
    <xf numFmtId="0" fontId="5" fillId="45" borderId="109" xfId="0" applyFont="1" applyFill="1" applyBorder="1" applyAlignment="1" applyProtection="1">
      <alignment horizontal="center" vertical="center"/>
      <protection locked="0"/>
    </xf>
    <xf numFmtId="0" fontId="5" fillId="45" borderId="111" xfId="0" applyFont="1" applyFill="1" applyBorder="1" applyAlignment="1" applyProtection="1">
      <alignment horizontal="center" vertical="center"/>
      <protection locked="0"/>
    </xf>
    <xf numFmtId="0" fontId="5" fillId="45" borderId="107" xfId="0" applyFont="1" applyFill="1" applyBorder="1" applyAlignment="1" applyProtection="1">
      <alignment horizontal="center" vertical="center"/>
      <protection locked="0"/>
    </xf>
    <xf numFmtId="0" fontId="5" fillId="52" borderId="94" xfId="0" applyFont="1" applyFill="1" applyBorder="1" applyAlignment="1">
      <alignment horizontal="center" vertical="center"/>
    </xf>
    <xf numFmtId="164" fontId="5" fillId="52" borderId="95" xfId="0" applyNumberFormat="1" applyFont="1" applyFill="1" applyBorder="1" applyAlignment="1">
      <alignment horizontal="center" vertical="center"/>
    </xf>
    <xf numFmtId="0" fontId="5" fillId="52" borderId="70" xfId="0" applyFont="1" applyFill="1" applyBorder="1" applyAlignment="1">
      <alignment horizontal="center" vertical="center"/>
    </xf>
    <xf numFmtId="164" fontId="5" fillId="52" borderId="75" xfId="0" applyNumberFormat="1" applyFont="1" applyFill="1" applyBorder="1" applyAlignment="1">
      <alignment horizontal="center" vertical="center"/>
    </xf>
    <xf numFmtId="0" fontId="5" fillId="52" borderId="71" xfId="0" applyFont="1" applyFill="1" applyBorder="1" applyAlignment="1">
      <alignment horizontal="center" vertical="center"/>
    </xf>
    <xf numFmtId="2" fontId="5" fillId="52" borderId="65" xfId="0" applyNumberFormat="1" applyFont="1" applyFill="1" applyBorder="1" applyAlignment="1">
      <alignment horizontal="center" vertical="center"/>
    </xf>
    <xf numFmtId="14" fontId="5" fillId="52" borderId="65" xfId="0" applyNumberFormat="1" applyFont="1" applyFill="1" applyBorder="1" applyAlignment="1">
      <alignment horizontal="center" vertical="center"/>
    </xf>
    <xf numFmtId="0" fontId="5" fillId="52" borderId="95" xfId="0" applyFont="1" applyFill="1" applyBorder="1" applyAlignment="1">
      <alignment horizontal="center" vertical="center"/>
    </xf>
    <xf numFmtId="0" fontId="5" fillId="52" borderId="75" xfId="0" applyFont="1" applyFill="1" applyBorder="1" applyAlignment="1">
      <alignment horizontal="center" vertical="center"/>
    </xf>
    <xf numFmtId="164" fontId="5" fillId="52" borderId="71" xfId="0" applyNumberFormat="1" applyFont="1" applyFill="1" applyBorder="1" applyAlignment="1">
      <alignment horizontal="center" vertical="center"/>
    </xf>
    <xf numFmtId="1" fontId="5" fillId="53" borderId="108" xfId="0" applyNumberFormat="1" applyFont="1" applyFill="1" applyBorder="1" applyAlignment="1" applyProtection="1">
      <alignment horizontal="center" vertical="center"/>
      <protection locked="0"/>
    </xf>
    <xf numFmtId="164" fontId="5" fillId="53" borderId="108" xfId="0" applyNumberFormat="1" applyFont="1" applyFill="1" applyBorder="1" applyAlignment="1" applyProtection="1">
      <alignment horizontal="center" vertical="center"/>
      <protection locked="0"/>
    </xf>
    <xf numFmtId="2" fontId="5" fillId="53" borderId="108" xfId="0" applyNumberFormat="1" applyFont="1" applyFill="1" applyBorder="1" applyAlignment="1" applyProtection="1">
      <alignment horizontal="center" vertical="center"/>
      <protection locked="0"/>
    </xf>
    <xf numFmtId="164" fontId="5" fillId="0" borderId="71" xfId="0" applyNumberFormat="1" applyFont="1" applyBorder="1" applyAlignment="1">
      <alignment horizontal="center"/>
    </xf>
    <xf numFmtId="164" fontId="5" fillId="0" borderId="70" xfId="0" applyNumberFormat="1" applyFont="1" applyBorder="1" applyAlignment="1">
      <alignment horizontal="center"/>
    </xf>
    <xf numFmtId="0" fontId="5" fillId="0" borderId="71" xfId="0" applyFont="1" applyBorder="1" applyAlignment="1">
      <alignment horizontal="center"/>
    </xf>
    <xf numFmtId="0" fontId="5" fillId="62" borderId="108" xfId="0" applyFont="1" applyFill="1" applyBorder="1" applyAlignment="1" applyProtection="1">
      <alignment horizontal="center"/>
      <protection locked="0"/>
    </xf>
    <xf numFmtId="0" fontId="5" fillId="68" borderId="108" xfId="0" applyFont="1" applyFill="1" applyBorder="1" applyAlignment="1" applyProtection="1">
      <alignment horizontal="center" vertical="center"/>
      <protection locked="0"/>
    </xf>
    <xf numFmtId="0" fontId="5" fillId="68" borderId="106" xfId="0" applyFont="1" applyFill="1" applyBorder="1" applyAlignment="1" applyProtection="1">
      <alignment horizontal="center" vertical="center"/>
      <protection locked="0"/>
    </xf>
    <xf numFmtId="0" fontId="5" fillId="68" borderId="109" xfId="0" applyFont="1" applyFill="1" applyBorder="1" applyAlignment="1" applyProtection="1">
      <alignment horizontal="center" vertical="center"/>
      <protection locked="0"/>
    </xf>
    <xf numFmtId="0" fontId="5" fillId="68" borderId="107" xfId="0" applyFont="1" applyFill="1" applyBorder="1" applyAlignment="1" applyProtection="1">
      <alignment horizontal="center" vertical="center"/>
      <protection locked="0"/>
    </xf>
    <xf numFmtId="0" fontId="41" fillId="0" borderId="91" xfId="0" applyFont="1" applyBorder="1"/>
    <xf numFmtId="0" fontId="5" fillId="0" borderId="75" xfId="0" applyFont="1" applyBorder="1" applyAlignment="1">
      <alignment horizontal="center"/>
    </xf>
    <xf numFmtId="0" fontId="5" fillId="0" borderId="65" xfId="0" applyFont="1" applyBorder="1" applyAlignment="1">
      <alignment horizontal="center"/>
    </xf>
    <xf numFmtId="9" fontId="5" fillId="0" borderId="75" xfId="0" applyNumberFormat="1" applyFont="1" applyBorder="1" applyAlignment="1">
      <alignment horizontal="center"/>
    </xf>
    <xf numFmtId="164" fontId="5" fillId="0" borderId="65" xfId="0" applyNumberFormat="1" applyFont="1" applyBorder="1" applyAlignment="1">
      <alignment horizontal="center"/>
    </xf>
    <xf numFmtId="0" fontId="41" fillId="0" borderId="70" xfId="0" applyFont="1" applyBorder="1" applyAlignment="1">
      <alignment horizontal="center"/>
    </xf>
    <xf numFmtId="0" fontId="41" fillId="0" borderId="71" xfId="0" applyFont="1" applyBorder="1" applyAlignment="1">
      <alignment horizontal="center"/>
    </xf>
    <xf numFmtId="166" fontId="41" fillId="0" borderId="71" xfId="0" applyNumberFormat="1" applyFont="1" applyBorder="1" applyAlignment="1">
      <alignment horizontal="center"/>
    </xf>
    <xf numFmtId="0" fontId="41" fillId="0" borderId="75" xfId="0" applyFont="1" applyBorder="1" applyAlignment="1">
      <alignment horizontal="center"/>
    </xf>
    <xf numFmtId="9" fontId="41" fillId="0" borderId="75" xfId="0" applyNumberFormat="1" applyFont="1" applyBorder="1" applyAlignment="1">
      <alignment horizontal="center"/>
    </xf>
    <xf numFmtId="166" fontId="41" fillId="0" borderId="75" xfId="0" applyNumberFormat="1" applyFont="1" applyBorder="1" applyAlignment="1">
      <alignment horizontal="center"/>
    </xf>
    <xf numFmtId="0" fontId="5" fillId="100" borderId="108" xfId="0" applyFont="1" applyFill="1" applyBorder="1" applyAlignment="1" applyProtection="1">
      <alignment horizontal="center" vertical="center"/>
      <protection locked="0"/>
    </xf>
    <xf numFmtId="0" fontId="41" fillId="0" borderId="70" xfId="0" applyFont="1" applyBorder="1" applyAlignment="1">
      <alignment wrapText="1"/>
    </xf>
    <xf numFmtId="0" fontId="42" fillId="0" borderId="70" xfId="0" applyFont="1" applyBorder="1"/>
    <xf numFmtId="0" fontId="34" fillId="69" borderId="91" xfId="0" applyFont="1" applyFill="1" applyBorder="1"/>
    <xf numFmtId="0" fontId="3" fillId="69" borderId="91" xfId="0" applyFont="1" applyFill="1" applyBorder="1"/>
    <xf numFmtId="0" fontId="41" fillId="100" borderId="108" xfId="0" applyFont="1" applyFill="1" applyBorder="1" applyAlignment="1" applyProtection="1">
      <alignment horizontal="center"/>
      <protection locked="0"/>
    </xf>
    <xf numFmtId="0" fontId="41" fillId="100" borderId="108" xfId="0" applyFont="1" applyFill="1" applyBorder="1" applyProtection="1">
      <protection locked="0"/>
    </xf>
    <xf numFmtId="0" fontId="5" fillId="100" borderId="106" xfId="0" applyFont="1" applyFill="1" applyBorder="1" applyAlignment="1" applyProtection="1">
      <alignment horizontal="center"/>
      <protection locked="0"/>
    </xf>
    <xf numFmtId="0" fontId="5" fillId="100" borderId="109" xfId="0" applyFont="1" applyFill="1" applyBorder="1" applyAlignment="1" applyProtection="1">
      <alignment horizontal="center"/>
      <protection locked="0"/>
    </xf>
    <xf numFmtId="0" fontId="5" fillId="100" borderId="107" xfId="0" applyFont="1" applyFill="1" applyBorder="1" applyAlignment="1" applyProtection="1">
      <alignment horizontal="center"/>
      <protection locked="0"/>
    </xf>
    <xf numFmtId="9" fontId="5" fillId="100" borderId="107" xfId="0" applyNumberFormat="1" applyFont="1" applyFill="1" applyBorder="1" applyAlignment="1" applyProtection="1">
      <alignment horizontal="center"/>
      <protection locked="0"/>
    </xf>
    <xf numFmtId="0" fontId="5" fillId="100" borderId="108" xfId="0" applyFont="1" applyFill="1" applyBorder="1" applyAlignment="1" applyProtection="1">
      <alignment horizontal="center"/>
      <protection locked="0"/>
    </xf>
    <xf numFmtId="0" fontId="0" fillId="100" borderId="106" xfId="0" applyFill="1" applyBorder="1" applyAlignment="1" applyProtection="1">
      <alignment horizontal="center"/>
      <protection locked="0"/>
    </xf>
    <xf numFmtId="0" fontId="0" fillId="100" borderId="109" xfId="0" applyFill="1" applyBorder="1" applyAlignment="1" applyProtection="1">
      <alignment horizontal="center"/>
      <protection locked="0"/>
    </xf>
    <xf numFmtId="0" fontId="41" fillId="76" borderId="91" xfId="0" applyFont="1" applyFill="1" applyBorder="1"/>
    <xf numFmtId="0" fontId="41" fillId="76" borderId="93" xfId="0" applyFont="1" applyFill="1" applyBorder="1" applyAlignment="1">
      <alignment horizontal="center" vertical="center" wrapText="1"/>
    </xf>
    <xf numFmtId="0" fontId="45" fillId="76" borderId="70" xfId="0" applyFont="1" applyFill="1" applyBorder="1" applyAlignment="1">
      <alignment horizontal="center" vertical="center"/>
    </xf>
    <xf numFmtId="0" fontId="45" fillId="76" borderId="71" xfId="0" applyFont="1" applyFill="1" applyBorder="1" applyAlignment="1">
      <alignment horizontal="center" vertical="center"/>
    </xf>
    <xf numFmtId="166" fontId="45" fillId="76" borderId="75" xfId="0" applyNumberFormat="1" applyFont="1" applyFill="1" applyBorder="1" applyAlignment="1">
      <alignment horizontal="center" vertical="center"/>
    </xf>
    <xf numFmtId="0" fontId="45" fillId="76" borderId="75" xfId="0" applyFont="1" applyFill="1" applyBorder="1" applyAlignment="1">
      <alignment horizontal="center" vertical="center"/>
    </xf>
    <xf numFmtId="0" fontId="41" fillId="76" borderId="70" xfId="0" applyFont="1" applyFill="1" applyBorder="1" applyAlignment="1">
      <alignment horizontal="center" vertical="center"/>
    </xf>
    <xf numFmtId="0" fontId="41" fillId="76" borderId="71" xfId="0" applyFont="1" applyFill="1" applyBorder="1" applyAlignment="1">
      <alignment horizontal="center" vertical="center"/>
    </xf>
    <xf numFmtId="166" fontId="41" fillId="76" borderId="75" xfId="0" applyNumberFormat="1" applyFont="1" applyFill="1" applyBorder="1" applyAlignment="1">
      <alignment horizontal="center" vertical="center"/>
    </xf>
    <xf numFmtId="0" fontId="41" fillId="76" borderId="75" xfId="0" applyFont="1" applyFill="1" applyBorder="1" applyAlignment="1">
      <alignment horizontal="center" vertical="center"/>
    </xf>
    <xf numFmtId="0" fontId="42" fillId="0" borderId="70" xfId="0" applyFont="1" applyBorder="1" applyAlignment="1">
      <alignment horizontal="center"/>
    </xf>
    <xf numFmtId="0" fontId="42" fillId="0" borderId="71" xfId="0" applyFont="1" applyBorder="1" applyAlignment="1">
      <alignment horizontal="center"/>
    </xf>
    <xf numFmtId="0" fontId="42" fillId="0" borderId="75" xfId="0" applyFont="1" applyBorder="1" applyAlignment="1">
      <alignment horizontal="center"/>
    </xf>
    <xf numFmtId="0" fontId="41" fillId="86" borderId="70" xfId="0" applyFont="1" applyFill="1" applyBorder="1" applyAlignment="1">
      <alignment horizontal="center"/>
    </xf>
    <xf numFmtId="0" fontId="41" fillId="86" borderId="71" xfId="0" applyFont="1" applyFill="1" applyBorder="1" applyAlignment="1">
      <alignment horizontal="center"/>
    </xf>
    <xf numFmtId="166" fontId="41" fillId="86" borderId="75" xfId="0" applyNumberFormat="1" applyFont="1" applyFill="1" applyBorder="1" applyAlignment="1">
      <alignment horizontal="center"/>
    </xf>
    <xf numFmtId="0" fontId="34" fillId="80" borderId="91" xfId="0" applyFont="1" applyFill="1" applyBorder="1" applyAlignment="1">
      <alignment vertical="center" wrapText="1"/>
    </xf>
    <xf numFmtId="0" fontId="34" fillId="80" borderId="91" xfId="0" applyFont="1" applyFill="1" applyBorder="1" applyAlignment="1">
      <alignment horizontal="center" vertical="center" wrapText="1"/>
    </xf>
    <xf numFmtId="0" fontId="34" fillId="88" borderId="91" xfId="0" applyFont="1" applyFill="1" applyBorder="1" applyAlignment="1">
      <alignment horizontal="center" wrapText="1"/>
    </xf>
    <xf numFmtId="0" fontId="41" fillId="81" borderId="88" xfId="0" applyFont="1" applyFill="1" applyBorder="1" applyAlignment="1">
      <alignment horizontal="center" vertical="center" wrapText="1"/>
    </xf>
    <xf numFmtId="0" fontId="41" fillId="81" borderId="89" xfId="0" applyFont="1" applyFill="1" applyBorder="1" applyAlignment="1">
      <alignment horizontal="center" vertical="center" wrapText="1"/>
    </xf>
    <xf numFmtId="166" fontId="41" fillId="81" borderId="90" xfId="0" applyNumberFormat="1" applyFont="1" applyFill="1" applyBorder="1" applyAlignment="1">
      <alignment horizontal="center" vertical="center" wrapText="1"/>
    </xf>
    <xf numFmtId="0" fontId="41" fillId="81" borderId="32" xfId="0" applyFont="1" applyFill="1" applyBorder="1" applyAlignment="1">
      <alignment horizontal="center" vertical="center" wrapText="1"/>
    </xf>
    <xf numFmtId="0" fontId="41" fillId="81" borderId="90" xfId="0" applyFont="1" applyFill="1" applyBorder="1" applyAlignment="1">
      <alignment horizontal="center" vertical="center" wrapText="1"/>
    </xf>
    <xf numFmtId="0" fontId="0" fillId="93" borderId="88" xfId="0" applyFill="1" applyBorder="1" applyAlignment="1">
      <alignment vertical="center"/>
    </xf>
    <xf numFmtId="0" fontId="0" fillId="93" borderId="90" xfId="0" applyFill="1" applyBorder="1" applyAlignment="1">
      <alignment vertical="center"/>
    </xf>
    <xf numFmtId="0" fontId="0" fillId="93" borderId="32" xfId="0" applyFill="1" applyBorder="1" applyAlignment="1">
      <alignment vertical="center"/>
    </xf>
    <xf numFmtId="0" fontId="0" fillId="93" borderId="89" xfId="0" applyFill="1" applyBorder="1" applyAlignment="1">
      <alignment vertical="center"/>
    </xf>
    <xf numFmtId="0" fontId="41" fillId="93" borderId="32" xfId="0" applyFont="1" applyFill="1" applyBorder="1" applyAlignment="1">
      <alignment horizontal="center" vertical="center" wrapText="1"/>
    </xf>
    <xf numFmtId="0" fontId="41" fillId="93" borderId="88" xfId="0" applyFont="1" applyFill="1" applyBorder="1" applyAlignment="1">
      <alignment horizontal="center" vertical="center" wrapText="1"/>
    </xf>
    <xf numFmtId="0" fontId="41" fillId="93" borderId="89" xfId="0" applyFont="1" applyFill="1" applyBorder="1" applyAlignment="1">
      <alignment horizontal="center" vertical="center" wrapText="1"/>
    </xf>
    <xf numFmtId="166" fontId="41" fillId="93" borderId="90" xfId="0" applyNumberFormat="1" applyFont="1" applyFill="1" applyBorder="1" applyAlignment="1">
      <alignment horizontal="center" vertical="center" wrapText="1"/>
    </xf>
    <xf numFmtId="168" fontId="41" fillId="93" borderId="32" xfId="0" applyNumberFormat="1" applyFont="1" applyFill="1" applyBorder="1" applyAlignment="1">
      <alignment horizontal="center" vertical="center" wrapText="1"/>
    </xf>
    <xf numFmtId="168" fontId="41" fillId="81" borderId="32" xfId="0" applyNumberFormat="1" applyFont="1" applyFill="1" applyBorder="1" applyAlignment="1">
      <alignment horizontal="center" vertical="center" wrapText="1"/>
    </xf>
    <xf numFmtId="0" fontId="41" fillId="81" borderId="112" xfId="0" applyFont="1" applyFill="1" applyBorder="1" applyAlignment="1">
      <alignment horizontal="center" vertical="center" wrapText="1"/>
    </xf>
    <xf numFmtId="0" fontId="41" fillId="81" borderId="42" xfId="0" applyFont="1" applyFill="1" applyBorder="1" applyAlignment="1">
      <alignment horizontal="center" vertical="center" wrapText="1"/>
    </xf>
    <xf numFmtId="0" fontId="0" fillId="93" borderId="42" xfId="0" applyFill="1" applyBorder="1" applyAlignment="1">
      <alignment vertical="center"/>
    </xf>
    <xf numFmtId="0" fontId="0" fillId="93" borderId="112" xfId="0" applyFill="1" applyBorder="1" applyAlignment="1">
      <alignment vertical="center"/>
    </xf>
    <xf numFmtId="0" fontId="41" fillId="93" borderId="42" xfId="0" applyFont="1" applyFill="1" applyBorder="1" applyAlignment="1">
      <alignment horizontal="center" vertical="center" wrapText="1"/>
    </xf>
    <xf numFmtId="0" fontId="41" fillId="93" borderId="112" xfId="0" applyFont="1" applyFill="1" applyBorder="1" applyAlignment="1">
      <alignment horizontal="center" vertical="center" wrapText="1"/>
    </xf>
    <xf numFmtId="166" fontId="41" fillId="81" borderId="113" xfId="0" applyNumberFormat="1" applyFont="1" applyFill="1" applyBorder="1" applyAlignment="1">
      <alignment horizontal="center" vertical="center" wrapText="1"/>
    </xf>
    <xf numFmtId="0" fontId="41" fillId="83" borderId="108" xfId="0" applyFont="1" applyFill="1" applyBorder="1" applyAlignment="1" applyProtection="1">
      <alignment horizontal="center" vertical="center" wrapText="1"/>
      <protection locked="0"/>
    </xf>
    <xf numFmtId="0" fontId="0" fillId="92" borderId="108" xfId="0" applyFill="1" applyBorder="1" applyAlignment="1" applyProtection="1">
      <alignment vertical="center"/>
      <protection locked="0"/>
    </xf>
    <xf numFmtId="0" fontId="41" fillId="92" borderId="108" xfId="0" applyFont="1" applyFill="1" applyBorder="1" applyAlignment="1" applyProtection="1">
      <alignment horizontal="center" vertical="center" wrapText="1"/>
      <protection locked="0"/>
    </xf>
    <xf numFmtId="166" fontId="41" fillId="92" borderId="108" xfId="0" applyNumberFormat="1" applyFont="1" applyFill="1" applyBorder="1" applyAlignment="1" applyProtection="1">
      <alignment horizontal="center" vertical="center" wrapText="1"/>
      <protection locked="0"/>
    </xf>
    <xf numFmtId="0" fontId="42" fillId="83" borderId="108" xfId="0" applyFont="1" applyFill="1" applyBorder="1" applyAlignment="1" applyProtection="1">
      <alignment horizontal="center" vertical="center" wrapText="1"/>
      <protection locked="0"/>
    </xf>
    <xf numFmtId="0" fontId="41" fillId="83" borderId="106" xfId="0" applyFont="1" applyFill="1" applyBorder="1" applyAlignment="1" applyProtection="1">
      <alignment horizontal="center" vertical="center" wrapText="1"/>
      <protection locked="0"/>
    </xf>
    <xf numFmtId="166" fontId="41" fillId="83" borderId="107" xfId="0" applyNumberFormat="1" applyFont="1" applyFill="1" applyBorder="1" applyAlignment="1" applyProtection="1">
      <alignment horizontal="center" vertical="center" wrapText="1"/>
      <protection locked="0"/>
    </xf>
    <xf numFmtId="0" fontId="34" fillId="80" borderId="114" xfId="0" applyFont="1" applyFill="1" applyBorder="1" applyAlignment="1">
      <alignment vertical="center" wrapText="1"/>
    </xf>
    <xf numFmtId="0" fontId="34" fillId="80" borderId="115" xfId="0" applyFont="1" applyFill="1" applyBorder="1" applyAlignment="1">
      <alignment vertical="center" wrapText="1"/>
    </xf>
    <xf numFmtId="0" fontId="34" fillId="80" borderId="116" xfId="0" applyFont="1" applyFill="1" applyBorder="1" applyAlignment="1">
      <alignment vertical="center" wrapText="1"/>
    </xf>
    <xf numFmtId="167" fontId="41" fillId="0" borderId="65" xfId="0" applyNumberFormat="1" applyFont="1" applyBorder="1" applyAlignment="1">
      <alignment horizontal="center" wrapText="1"/>
    </xf>
    <xf numFmtId="0" fontId="41" fillId="0" borderId="70" xfId="0" applyFont="1" applyBorder="1" applyAlignment="1">
      <alignment horizontal="center" wrapText="1"/>
    </xf>
    <xf numFmtId="166" fontId="41" fillId="0" borderId="75" xfId="0" applyNumberFormat="1" applyFont="1" applyBorder="1" applyAlignment="1">
      <alignment horizontal="center" wrapText="1"/>
    </xf>
    <xf numFmtId="0" fontId="41" fillId="0" borderId="75" xfId="0" applyFont="1" applyBorder="1" applyAlignment="1">
      <alignment horizontal="center" wrapText="1"/>
    </xf>
    <xf numFmtId="166" fontId="41" fillId="0" borderId="71" xfId="0" applyNumberFormat="1" applyFont="1" applyBorder="1" applyAlignment="1">
      <alignment horizontal="center" wrapText="1"/>
    </xf>
    <xf numFmtId="166" fontId="41" fillId="0" borderId="96" xfId="0" applyNumberFormat="1" applyFont="1" applyBorder="1" applyAlignment="1">
      <alignment horizontal="center" wrapText="1"/>
    </xf>
    <xf numFmtId="167" fontId="41" fillId="0" borderId="71" xfId="0" applyNumberFormat="1" applyFont="1" applyBorder="1" applyAlignment="1">
      <alignment horizontal="center" wrapText="1"/>
    </xf>
    <xf numFmtId="0" fontId="34" fillId="88" borderId="117" xfId="0" applyFont="1" applyFill="1" applyBorder="1" applyAlignment="1">
      <alignment wrapText="1"/>
    </xf>
    <xf numFmtId="0" fontId="34" fillId="88" borderId="118" xfId="0" applyFont="1" applyFill="1" applyBorder="1" applyAlignment="1">
      <alignment wrapText="1"/>
    </xf>
    <xf numFmtId="0" fontId="34" fillId="88" borderId="119" xfId="0" applyFont="1" applyFill="1" applyBorder="1" applyAlignment="1">
      <alignment wrapText="1"/>
    </xf>
    <xf numFmtId="0" fontId="34" fillId="88" borderId="117" xfId="0" applyFont="1" applyFill="1" applyBorder="1" applyAlignment="1">
      <alignment horizontal="center" wrapText="1"/>
    </xf>
    <xf numFmtId="0" fontId="34" fillId="88" borderId="119" xfId="0" applyFont="1" applyFill="1" applyBorder="1" applyAlignment="1">
      <alignment horizontal="center" wrapText="1"/>
    </xf>
    <xf numFmtId="0" fontId="34" fillId="88" borderId="118" xfId="0" applyFont="1" applyFill="1" applyBorder="1" applyAlignment="1">
      <alignment horizontal="center" wrapText="1"/>
    </xf>
    <xf numFmtId="0" fontId="9" fillId="71" borderId="67" xfId="0" applyFont="1" applyFill="1" applyBorder="1" applyAlignment="1">
      <alignment horizontal="center"/>
    </xf>
    <xf numFmtId="0" fontId="9" fillId="71" borderId="66" xfId="0" applyFont="1" applyFill="1" applyBorder="1" applyAlignment="1">
      <alignment horizontal="center"/>
    </xf>
    <xf numFmtId="0" fontId="9" fillId="71" borderId="71" xfId="0" applyFont="1" applyFill="1" applyBorder="1" applyAlignment="1">
      <alignment horizontal="center"/>
    </xf>
    <xf numFmtId="0" fontId="34" fillId="97" borderId="91" xfId="0" applyFont="1" applyFill="1" applyBorder="1" applyAlignment="1">
      <alignment vertical="center" wrapText="1"/>
    </xf>
    <xf numFmtId="0" fontId="58" fillId="98" borderId="90" xfId="0" applyFont="1" applyFill="1" applyBorder="1" applyAlignment="1">
      <alignment vertical="center" wrapText="1"/>
    </xf>
    <xf numFmtId="166" fontId="58" fillId="98" borderId="32" xfId="0" applyNumberFormat="1" applyFont="1" applyFill="1" applyBorder="1" applyAlignment="1">
      <alignment vertical="center" wrapText="1"/>
    </xf>
    <xf numFmtId="0" fontId="58" fillId="98" borderId="32" xfId="0" applyFont="1" applyFill="1" applyBorder="1" applyAlignment="1">
      <alignment vertical="center" wrapText="1"/>
    </xf>
    <xf numFmtId="169" fontId="58" fillId="98" borderId="32" xfId="0" applyNumberFormat="1" applyFont="1" applyFill="1" applyBorder="1" applyAlignment="1">
      <alignment vertical="center" wrapText="1"/>
    </xf>
    <xf numFmtId="14" fontId="58" fillId="98" borderId="32" xfId="0" applyNumberFormat="1" applyFont="1" applyFill="1" applyBorder="1" applyAlignment="1">
      <alignment vertical="center" wrapText="1"/>
    </xf>
    <xf numFmtId="0" fontId="34" fillId="97" borderId="79" xfId="0" applyFont="1" applyFill="1" applyBorder="1" applyAlignment="1">
      <alignment horizontal="center" vertical="center" wrapText="1"/>
    </xf>
    <xf numFmtId="0" fontId="34" fillId="97" borderId="80" xfId="0" applyFont="1" applyFill="1" applyBorder="1" applyAlignment="1">
      <alignment horizontal="center" vertical="center" wrapText="1"/>
    </xf>
    <xf numFmtId="0" fontId="34" fillId="97" borderId="81" xfId="0" applyFont="1" applyFill="1" applyBorder="1" applyAlignment="1">
      <alignment horizontal="center" vertical="center" wrapText="1"/>
    </xf>
    <xf numFmtId="0" fontId="0" fillId="0" borderId="100" xfId="0" applyBorder="1"/>
    <xf numFmtId="14" fontId="58" fillId="0" borderId="98" xfId="0" applyNumberFormat="1" applyFont="1" applyBorder="1" applyAlignment="1">
      <alignment horizontal="center" vertical="center"/>
    </xf>
    <xf numFmtId="169" fontId="58" fillId="0" borderId="101" xfId="0" applyNumberFormat="1" applyFont="1" applyBorder="1" applyAlignment="1">
      <alignment horizontal="center" vertical="center"/>
    </xf>
    <xf numFmtId="9" fontId="58" fillId="98" borderId="32" xfId="0" applyNumberFormat="1" applyFont="1" applyFill="1" applyBorder="1" applyAlignment="1">
      <alignment vertical="center" wrapText="1"/>
    </xf>
    <xf numFmtId="0" fontId="34" fillId="0" borderId="83" xfId="0" applyFont="1" applyBorder="1" applyAlignment="1">
      <alignment horizontal="center" vertical="center" wrapText="1"/>
    </xf>
    <xf numFmtId="0" fontId="0" fillId="0" borderId="98" xfId="0" applyBorder="1" applyAlignment="1">
      <alignment horizontal="center" vertical="center"/>
    </xf>
    <xf numFmtId="0" fontId="34" fillId="97" borderId="122" xfId="0" applyFont="1" applyFill="1" applyBorder="1" applyAlignment="1">
      <alignment horizontal="center" vertical="center" wrapText="1"/>
    </xf>
    <xf numFmtId="0" fontId="34" fillId="97" borderId="118" xfId="0" applyFont="1" applyFill="1" applyBorder="1" applyAlignment="1">
      <alignment vertical="center" wrapText="1"/>
    </xf>
    <xf numFmtId="0" fontId="34" fillId="97" borderId="123" xfId="0" applyFont="1" applyFill="1" applyBorder="1" applyAlignment="1">
      <alignment horizontal="center" vertical="center" wrapText="1"/>
    </xf>
    <xf numFmtId="0" fontId="0" fillId="0" borderId="85" xfId="0" applyBorder="1"/>
    <xf numFmtId="0" fontId="58" fillId="92" borderId="108" xfId="0" applyFont="1" applyFill="1" applyBorder="1" applyAlignment="1" applyProtection="1">
      <alignment vertical="center" wrapText="1"/>
      <protection locked="0"/>
    </xf>
    <xf numFmtId="0" fontId="61" fillId="100" borderId="108" xfId="0" applyFont="1" applyFill="1" applyBorder="1" applyAlignment="1" applyProtection="1">
      <alignment horizontal="center" vertical="center"/>
      <protection locked="0"/>
    </xf>
    <xf numFmtId="169" fontId="58" fillId="92" borderId="108" xfId="0" applyNumberFormat="1" applyFont="1" applyFill="1" applyBorder="1" applyAlignment="1" applyProtection="1">
      <alignment vertical="center" wrapText="1"/>
      <protection locked="0"/>
    </xf>
    <xf numFmtId="0" fontId="58" fillId="98" borderId="32" xfId="0" applyFont="1" applyFill="1" applyBorder="1" applyAlignment="1" applyProtection="1">
      <alignment vertical="center" wrapText="1"/>
      <protection locked="0"/>
    </xf>
    <xf numFmtId="49" fontId="58" fillId="0" borderId="98" xfId="0" applyNumberFormat="1" applyFont="1" applyBorder="1" applyAlignment="1" applyProtection="1">
      <alignment horizontal="center" vertical="center"/>
      <protection locked="0"/>
    </xf>
    <xf numFmtId="0" fontId="58" fillId="0" borderId="99" xfId="0" applyFont="1" applyBorder="1" applyAlignment="1" applyProtection="1">
      <alignment horizontal="center" vertical="center"/>
      <protection locked="0"/>
    </xf>
    <xf numFmtId="0" fontId="0" fillId="0" borderId="0" xfId="0" applyAlignment="1">
      <alignment vertical="center"/>
    </xf>
    <xf numFmtId="0" fontId="0" fillId="0" borderId="70" xfId="0" applyBorder="1" applyAlignment="1">
      <alignment wrapText="1"/>
    </xf>
    <xf numFmtId="0" fontId="0" fillId="0" borderId="71" xfId="0" applyBorder="1" applyAlignment="1">
      <alignment wrapText="1"/>
    </xf>
    <xf numFmtId="168" fontId="0" fillId="0" borderId="75" xfId="0" applyNumberFormat="1" applyBorder="1" applyAlignment="1">
      <alignment wrapText="1"/>
    </xf>
    <xf numFmtId="0" fontId="0" fillId="0" borderId="70" xfId="0" applyBorder="1" applyAlignment="1">
      <alignment vertical="center" wrapText="1"/>
    </xf>
    <xf numFmtId="0" fontId="0" fillId="0" borderId="71" xfId="0" applyBorder="1" applyAlignment="1">
      <alignment vertical="center" wrapText="1"/>
    </xf>
    <xf numFmtId="168" fontId="0" fillId="0" borderId="75" xfId="0" applyNumberFormat="1" applyBorder="1" applyAlignment="1">
      <alignment vertical="center" wrapText="1"/>
    </xf>
    <xf numFmtId="0" fontId="0" fillId="0" borderId="75" xfId="0" applyBorder="1" applyAlignment="1">
      <alignment wrapText="1"/>
    </xf>
    <xf numFmtId="0" fontId="0" fillId="0" borderId="70" xfId="0" applyBorder="1" applyAlignment="1">
      <alignment horizontal="center" vertical="center" wrapText="1"/>
    </xf>
    <xf numFmtId="0" fontId="0" fillId="0" borderId="75" xfId="0" applyBorder="1" applyAlignment="1">
      <alignment horizontal="center" vertical="center" wrapText="1"/>
    </xf>
    <xf numFmtId="168" fontId="0" fillId="0" borderId="75" xfId="0" applyNumberFormat="1" applyBorder="1" applyAlignment="1">
      <alignment horizontal="center" vertical="center" wrapText="1"/>
    </xf>
    <xf numFmtId="0" fontId="0" fillId="0" borderId="70" xfId="0" applyBorder="1" applyAlignment="1">
      <alignment horizontal="left" vertical="center" wrapText="1"/>
    </xf>
    <xf numFmtId="0" fontId="0" fillId="0" borderId="71" xfId="0" applyBorder="1" applyAlignment="1">
      <alignment horizontal="center" vertical="center" wrapText="1"/>
    </xf>
    <xf numFmtId="0" fontId="34" fillId="94" borderId="91" xfId="0" applyFont="1" applyFill="1" applyBorder="1" applyAlignment="1">
      <alignment horizontal="center" wrapText="1"/>
    </xf>
    <xf numFmtId="0" fontId="34" fillId="94" borderId="91" xfId="0" applyFont="1" applyFill="1" applyBorder="1" applyAlignment="1">
      <alignment wrapText="1"/>
    </xf>
    <xf numFmtId="0" fontId="0" fillId="0" borderId="71" xfId="0" applyBorder="1" applyAlignment="1">
      <alignment horizontal="left" vertical="center" wrapText="1"/>
    </xf>
    <xf numFmtId="0" fontId="0" fillId="0" borderId="91" xfId="0" applyBorder="1" applyAlignment="1">
      <alignment wrapText="1"/>
    </xf>
    <xf numFmtId="0" fontId="41" fillId="98" borderId="32" xfId="0" applyFont="1" applyFill="1" applyBorder="1" applyAlignment="1">
      <alignment wrapText="1"/>
    </xf>
    <xf numFmtId="168" fontId="42" fillId="98" borderId="32" xfId="0" applyNumberFormat="1" applyFont="1" applyFill="1" applyBorder="1" applyAlignment="1">
      <alignment horizontal="center" vertical="center" wrapText="1"/>
    </xf>
    <xf numFmtId="9" fontId="41" fillId="98" borderId="32" xfId="0" applyNumberFormat="1" applyFont="1" applyFill="1" applyBorder="1" applyAlignment="1">
      <alignment horizontal="center" wrapText="1"/>
    </xf>
    <xf numFmtId="0" fontId="41" fillId="98" borderId="88" xfId="0" applyFont="1" applyFill="1" applyBorder="1" applyAlignment="1">
      <alignment vertical="center" wrapText="1"/>
    </xf>
    <xf numFmtId="0" fontId="41" fillId="98" borderId="89" xfId="0" applyFont="1" applyFill="1" applyBorder="1" applyAlignment="1">
      <alignment vertical="center" wrapText="1"/>
    </xf>
    <xf numFmtId="0" fontId="41" fillId="98" borderId="90" xfId="0" applyFont="1" applyFill="1" applyBorder="1" applyAlignment="1">
      <alignment vertical="center" wrapText="1"/>
    </xf>
    <xf numFmtId="0" fontId="42" fillId="98" borderId="32" xfId="0" applyFont="1" applyFill="1" applyBorder="1" applyAlignment="1">
      <alignment horizontal="center" vertical="center" wrapText="1"/>
    </xf>
    <xf numFmtId="9" fontId="42" fillId="98" borderId="32" xfId="0" applyNumberFormat="1" applyFont="1" applyFill="1" applyBorder="1" applyAlignment="1">
      <alignment horizontal="center" vertical="center" wrapText="1"/>
    </xf>
    <xf numFmtId="0" fontId="34" fillId="94" borderId="124" xfId="0" applyFont="1" applyFill="1" applyBorder="1" applyAlignment="1">
      <alignment horizontal="center" vertical="center" wrapText="1"/>
    </xf>
    <xf numFmtId="0" fontId="34" fillId="94" borderId="125" xfId="0" applyFont="1" applyFill="1" applyBorder="1" applyAlignment="1">
      <alignment horizontal="center" vertical="center" wrapText="1"/>
    </xf>
    <xf numFmtId="0" fontId="34" fillId="94" borderId="126" xfId="0" applyFont="1" applyFill="1" applyBorder="1" applyAlignment="1">
      <alignment horizontal="center" vertical="center" wrapText="1"/>
    </xf>
    <xf numFmtId="0" fontId="41" fillId="92" borderId="108" xfId="0" applyFont="1" applyFill="1" applyBorder="1" applyAlignment="1" applyProtection="1">
      <alignment vertical="center" wrapText="1"/>
      <protection locked="0"/>
    </xf>
    <xf numFmtId="164" fontId="5" fillId="53" borderId="107" xfId="0" applyNumberFormat="1" applyFont="1" applyFill="1" applyBorder="1" applyAlignment="1" applyProtection="1">
      <alignment horizontal="center" vertical="center"/>
      <protection locked="0"/>
    </xf>
    <xf numFmtId="164" fontId="5" fillId="53" borderId="106" xfId="0" applyNumberFormat="1" applyFont="1" applyFill="1" applyBorder="1" applyAlignment="1" applyProtection="1">
      <alignment horizontal="center" vertical="center"/>
      <protection locked="0"/>
    </xf>
    <xf numFmtId="1" fontId="5" fillId="53" borderId="109" xfId="0" applyNumberFormat="1" applyFont="1" applyFill="1" applyBorder="1" applyAlignment="1" applyProtection="1">
      <alignment horizontal="center" vertical="center"/>
      <protection locked="0"/>
    </xf>
    <xf numFmtId="164" fontId="5" fillId="53" borderId="109" xfId="0" applyNumberFormat="1" applyFont="1" applyFill="1" applyBorder="1" applyAlignment="1" applyProtection="1">
      <alignment horizontal="center" vertical="center"/>
      <protection locked="0"/>
    </xf>
    <xf numFmtId="0" fontId="34" fillId="47" borderId="0" xfId="0" applyFont="1" applyFill="1" applyAlignment="1">
      <alignment vertical="center" wrapText="1"/>
    </xf>
    <xf numFmtId="0" fontId="34" fillId="47" borderId="0" xfId="0" applyFont="1" applyFill="1" applyAlignment="1">
      <alignment vertical="center"/>
    </xf>
    <xf numFmtId="0" fontId="34" fillId="48" borderId="0" xfId="0" applyFont="1" applyFill="1" applyAlignment="1">
      <alignment vertical="center" wrapText="1"/>
    </xf>
    <xf numFmtId="0" fontId="34" fillId="48" borderId="0" xfId="0" applyFont="1" applyFill="1" applyAlignment="1">
      <alignment vertical="center"/>
    </xf>
    <xf numFmtId="0" fontId="4" fillId="49" borderId="54" xfId="0" applyFont="1" applyFill="1" applyBorder="1" applyAlignment="1">
      <alignment vertical="center" wrapText="1"/>
    </xf>
    <xf numFmtId="0" fontId="4" fillId="49" borderId="54" xfId="0" applyFont="1" applyFill="1" applyBorder="1"/>
    <xf numFmtId="0" fontId="37" fillId="51" borderId="0" xfId="0" applyFont="1" applyFill="1" applyAlignment="1">
      <alignment vertical="center" wrapText="1"/>
    </xf>
    <xf numFmtId="0" fontId="5" fillId="51" borderId="0" xfId="0" applyFont="1" applyFill="1" applyAlignment="1">
      <alignment vertical="center" wrapText="1"/>
    </xf>
    <xf numFmtId="0" fontId="8" fillId="55" borderId="0" xfId="0" applyFont="1" applyFill="1" applyAlignment="1">
      <alignment vertical="center" wrapText="1"/>
    </xf>
    <xf numFmtId="0" fontId="2" fillId="0" borderId="0" xfId="0" applyFont="1" applyAlignment="1">
      <alignment vertical="top" wrapText="1"/>
    </xf>
    <xf numFmtId="0" fontId="4" fillId="5" borderId="2" xfId="0" applyFont="1" applyFill="1" applyBorder="1" applyAlignment="1">
      <alignment vertical="center"/>
    </xf>
    <xf numFmtId="0" fontId="5" fillId="6" borderId="0" xfId="0" applyFont="1" applyFill="1" applyAlignment="1">
      <alignment vertical="top" wrapText="1"/>
    </xf>
    <xf numFmtId="0" fontId="5" fillId="6" borderId="2" xfId="0" applyFont="1" applyFill="1" applyBorder="1" applyAlignment="1">
      <alignment vertical="top" wrapText="1"/>
    </xf>
    <xf numFmtId="0" fontId="31" fillId="26" borderId="2" xfId="0" applyFont="1" applyFill="1" applyBorder="1" applyAlignment="1">
      <alignment vertical="top" wrapText="1"/>
    </xf>
    <xf numFmtId="0" fontId="6" fillId="9" borderId="0" xfId="0" applyFont="1" applyFill="1" applyAlignment="1">
      <alignment horizontal="center"/>
    </xf>
    <xf numFmtId="0" fontId="30" fillId="22" borderId="0" xfId="0" applyFont="1" applyFill="1" applyAlignment="1">
      <alignment horizontal="center" vertical="center" wrapText="1"/>
    </xf>
    <xf numFmtId="0" fontId="6" fillId="22" borderId="0" xfId="0" applyFont="1" applyFill="1" applyAlignment="1">
      <alignment horizontal="center" vertical="center" wrapText="1"/>
    </xf>
    <xf numFmtId="0" fontId="0" fillId="0" borderId="0" xfId="0"/>
    <xf numFmtId="0" fontId="8" fillId="0" borderId="0" xfId="0" applyFont="1" applyAlignment="1">
      <alignment wrapText="1"/>
    </xf>
    <xf numFmtId="0" fontId="7" fillId="11" borderId="0" xfId="0" applyFont="1" applyFill="1" applyAlignment="1">
      <alignment wrapText="1"/>
    </xf>
    <xf numFmtId="0" fontId="4" fillId="39" borderId="0" xfId="0" applyFont="1" applyFill="1"/>
    <xf numFmtId="0" fontId="5" fillId="39" borderId="0" xfId="0" applyFont="1" applyFill="1" applyAlignment="1">
      <alignment vertical="top" wrapText="1"/>
    </xf>
    <xf numFmtId="0" fontId="3" fillId="14" borderId="0" xfId="0" applyFont="1" applyFill="1" applyAlignment="1">
      <alignment horizontal="center" vertical="center" wrapText="1"/>
    </xf>
    <xf numFmtId="0" fontId="6" fillId="9" borderId="0" xfId="0" applyFont="1" applyFill="1" applyAlignment="1">
      <alignment vertical="center"/>
    </xf>
    <xf numFmtId="0" fontId="9" fillId="7" borderId="3" xfId="0" applyFont="1" applyFill="1" applyBorder="1" applyProtection="1">
      <protection locked="0"/>
    </xf>
    <xf numFmtId="0" fontId="9" fillId="7" borderId="72" xfId="0" applyFont="1" applyFill="1" applyBorder="1" applyProtection="1">
      <protection locked="0"/>
    </xf>
    <xf numFmtId="0" fontId="6" fillId="9" borderId="69" xfId="0" applyFont="1" applyFill="1" applyBorder="1" applyAlignment="1">
      <alignment horizontal="center"/>
    </xf>
    <xf numFmtId="0" fontId="10" fillId="8" borderId="73" xfId="0" applyFont="1" applyFill="1" applyBorder="1" applyAlignment="1">
      <alignment horizontal="center" vertical="center" wrapText="1"/>
    </xf>
    <xf numFmtId="0" fontId="10" fillId="8" borderId="74" xfId="0" applyFont="1" applyFill="1" applyBorder="1" applyAlignment="1">
      <alignment horizontal="center" vertical="center" wrapText="1"/>
    </xf>
    <xf numFmtId="9" fontId="10" fillId="8" borderId="73" xfId="0" applyNumberFormat="1" applyFont="1" applyFill="1" applyBorder="1" applyAlignment="1">
      <alignment horizontal="center" vertical="center" wrapText="1"/>
    </xf>
    <xf numFmtId="9" fontId="10" fillId="8" borderId="74" xfId="0" applyNumberFormat="1" applyFont="1" applyFill="1" applyBorder="1" applyAlignment="1">
      <alignment horizontal="center" vertical="center" wrapText="1"/>
    </xf>
    <xf numFmtId="0" fontId="9" fillId="35" borderId="71" xfId="0" applyFont="1" applyFill="1" applyBorder="1" applyAlignment="1">
      <alignment horizontal="center" vertical="center"/>
    </xf>
    <xf numFmtId="0" fontId="9" fillId="35" borderId="75" xfId="0" applyFont="1" applyFill="1" applyBorder="1" applyAlignment="1">
      <alignment horizontal="center" vertical="center"/>
    </xf>
    <xf numFmtId="0" fontId="4" fillId="32" borderId="54" xfId="0" applyFont="1" applyFill="1" applyBorder="1" applyAlignment="1">
      <alignment vertical="center"/>
    </xf>
    <xf numFmtId="0" fontId="5" fillId="34" borderId="0" xfId="0" applyFont="1" applyFill="1" applyAlignment="1">
      <alignment vertical="center" wrapText="1"/>
    </xf>
    <xf numFmtId="0" fontId="34" fillId="40" borderId="58" xfId="0" applyFont="1" applyFill="1" applyBorder="1" applyAlignment="1">
      <alignment vertical="center"/>
    </xf>
    <xf numFmtId="0" fontId="3" fillId="31" borderId="0" xfId="0" applyFont="1" applyFill="1" applyAlignment="1">
      <alignment horizontal="center" vertical="center" wrapText="1"/>
    </xf>
    <xf numFmtId="0" fontId="9" fillId="35" borderId="70" xfId="0" applyFont="1" applyFill="1" applyBorder="1"/>
    <xf numFmtId="0" fontId="9" fillId="35" borderId="71" xfId="0" applyFont="1" applyFill="1" applyBorder="1"/>
    <xf numFmtId="0" fontId="9" fillId="35" borderId="104" xfId="0" applyFont="1" applyFill="1" applyBorder="1"/>
    <xf numFmtId="0" fontId="34" fillId="31" borderId="0" xfId="0" applyFont="1" applyFill="1" applyAlignment="1">
      <alignment vertical="center"/>
    </xf>
    <xf numFmtId="0" fontId="34" fillId="41" borderId="0" xfId="0" applyFont="1" applyFill="1" applyAlignment="1">
      <alignment vertical="center"/>
    </xf>
    <xf numFmtId="0" fontId="34" fillId="40" borderId="0" xfId="0" applyFont="1" applyFill="1" applyAlignment="1">
      <alignment vertical="center"/>
    </xf>
    <xf numFmtId="0" fontId="4" fillId="42" borderId="54" xfId="0" applyFont="1" applyFill="1" applyBorder="1" applyAlignment="1">
      <alignment vertical="center"/>
    </xf>
    <xf numFmtId="0" fontId="5" fillId="44" borderId="0" xfId="0" applyFont="1" applyFill="1" applyAlignment="1">
      <alignment vertical="center" wrapText="1"/>
    </xf>
    <xf numFmtId="0" fontId="5" fillId="45" borderId="106" xfId="0" applyFont="1" applyFill="1" applyBorder="1" applyAlignment="1" applyProtection="1">
      <alignment horizontal="center" vertical="center"/>
      <protection locked="0"/>
    </xf>
    <xf numFmtId="0" fontId="5" fillId="45" borderId="109" xfId="0" applyFont="1" applyFill="1" applyBorder="1" applyAlignment="1" applyProtection="1">
      <alignment horizontal="center" vertical="center"/>
      <protection locked="0"/>
    </xf>
    <xf numFmtId="0" fontId="5" fillId="45" borderId="110" xfId="0" applyFont="1" applyFill="1" applyBorder="1" applyAlignment="1" applyProtection="1">
      <alignment horizontal="center" vertical="center"/>
      <protection locked="0"/>
    </xf>
    <xf numFmtId="0" fontId="34" fillId="57" borderId="0" xfId="0" applyFont="1" applyFill="1"/>
    <xf numFmtId="0" fontId="34" fillId="58" borderId="0" xfId="0" applyFont="1" applyFill="1" applyAlignment="1">
      <alignment wrapText="1"/>
    </xf>
    <xf numFmtId="0" fontId="4" fillId="59" borderId="54" xfId="0" applyFont="1" applyFill="1" applyBorder="1" applyAlignment="1">
      <alignment wrapText="1"/>
    </xf>
    <xf numFmtId="0" fontId="37" fillId="61" borderId="0" xfId="0" applyFont="1" applyFill="1" applyAlignment="1">
      <alignment wrapText="1"/>
    </xf>
    <xf numFmtId="0" fontId="34" fillId="63" borderId="0" xfId="0" applyFont="1" applyFill="1" applyAlignment="1">
      <alignment vertical="center" wrapText="1"/>
    </xf>
    <xf numFmtId="0" fontId="34" fillId="64" borderId="0" xfId="0" applyFont="1" applyFill="1" applyAlignment="1">
      <alignment vertical="center" wrapText="1"/>
    </xf>
    <xf numFmtId="0" fontId="37" fillId="67" borderId="0" xfId="0" applyFont="1" applyFill="1" applyAlignment="1">
      <alignment vertical="center" wrapText="1"/>
    </xf>
    <xf numFmtId="0" fontId="4" fillId="65" borderId="54" xfId="0" applyFont="1" applyFill="1" applyBorder="1" applyAlignment="1">
      <alignment vertical="center" wrapText="1"/>
    </xf>
    <xf numFmtId="0" fontId="42" fillId="71" borderId="54" xfId="0" applyFont="1" applyFill="1" applyBorder="1" applyAlignment="1">
      <alignment wrapText="1"/>
    </xf>
    <xf numFmtId="0" fontId="42" fillId="73" borderId="0" xfId="0" applyFont="1" applyFill="1" applyAlignment="1">
      <alignment wrapText="1"/>
    </xf>
    <xf numFmtId="166" fontId="41" fillId="100" borderId="106" xfId="0" applyNumberFormat="1" applyFont="1" applyFill="1" applyBorder="1" applyProtection="1">
      <protection locked="0"/>
    </xf>
    <xf numFmtId="166" fontId="41" fillId="100" borderId="109" xfId="0" applyNumberFormat="1" applyFont="1" applyFill="1" applyBorder="1" applyProtection="1">
      <protection locked="0"/>
    </xf>
    <xf numFmtId="166" fontId="41" fillId="100" borderId="107" xfId="0" applyNumberFormat="1" applyFont="1" applyFill="1" applyBorder="1" applyProtection="1">
      <protection locked="0"/>
    </xf>
    <xf numFmtId="9" fontId="41" fillId="100" borderId="106" xfId="0" applyNumberFormat="1" applyFont="1" applyFill="1" applyBorder="1" applyProtection="1">
      <protection locked="0"/>
    </xf>
    <xf numFmtId="9" fontId="41" fillId="100" borderId="109" xfId="0" applyNumberFormat="1" applyFont="1" applyFill="1" applyBorder="1" applyProtection="1">
      <protection locked="0"/>
    </xf>
    <xf numFmtId="9" fontId="41" fillId="100" borderId="107" xfId="0" applyNumberFormat="1" applyFont="1" applyFill="1" applyBorder="1" applyProtection="1">
      <protection locked="0"/>
    </xf>
    <xf numFmtId="0" fontId="41" fillId="100" borderId="106" xfId="0" applyFont="1" applyFill="1" applyBorder="1" applyProtection="1">
      <protection locked="0"/>
    </xf>
    <xf numFmtId="0" fontId="41" fillId="100" borderId="109" xfId="0" applyFont="1" applyFill="1" applyBorder="1" applyProtection="1">
      <protection locked="0"/>
    </xf>
    <xf numFmtId="0" fontId="41" fillId="100" borderId="107" xfId="0" applyFont="1" applyFill="1" applyBorder="1" applyProtection="1">
      <protection locked="0"/>
    </xf>
    <xf numFmtId="0" fontId="34" fillId="70" borderId="0" xfId="0" applyFont="1" applyFill="1" applyAlignment="1">
      <alignment wrapText="1"/>
    </xf>
    <xf numFmtId="166" fontId="41" fillId="100" borderId="106" xfId="0" applyNumberFormat="1" applyFont="1" applyFill="1" applyBorder="1" applyAlignment="1" applyProtection="1">
      <alignment wrapText="1"/>
      <protection locked="0"/>
    </xf>
    <xf numFmtId="166" fontId="41" fillId="100" borderId="109" xfId="0" applyNumberFormat="1" applyFont="1" applyFill="1" applyBorder="1" applyAlignment="1" applyProtection="1">
      <alignment wrapText="1"/>
      <protection locked="0"/>
    </xf>
    <xf numFmtId="166" fontId="41" fillId="100" borderId="107" xfId="0" applyNumberFormat="1" applyFont="1" applyFill="1" applyBorder="1" applyAlignment="1" applyProtection="1">
      <alignment wrapText="1"/>
      <protection locked="0"/>
    </xf>
    <xf numFmtId="0" fontId="41" fillId="100" borderId="109" xfId="0" applyFont="1" applyFill="1" applyBorder="1" applyAlignment="1" applyProtection="1">
      <alignment wrapText="1"/>
      <protection locked="0"/>
    </xf>
    <xf numFmtId="0" fontId="41" fillId="100" borderId="107" xfId="0" applyFont="1" applyFill="1" applyBorder="1" applyAlignment="1" applyProtection="1">
      <alignment wrapText="1"/>
      <protection locked="0"/>
    </xf>
    <xf numFmtId="0" fontId="41" fillId="100" borderId="106" xfId="0" applyFont="1" applyFill="1" applyBorder="1" applyAlignment="1" applyProtection="1">
      <alignment wrapText="1"/>
      <protection locked="0"/>
    </xf>
    <xf numFmtId="9" fontId="41" fillId="100" borderId="106" xfId="0" applyNumberFormat="1" applyFont="1" applyFill="1" applyBorder="1" applyAlignment="1" applyProtection="1">
      <alignment wrapText="1"/>
      <protection locked="0"/>
    </xf>
    <xf numFmtId="0" fontId="5" fillId="100" borderId="106" xfId="0" applyFont="1" applyFill="1" applyBorder="1" applyAlignment="1" applyProtection="1">
      <alignment horizontal="center"/>
      <protection locked="0"/>
    </xf>
    <xf numFmtId="0" fontId="5" fillId="100" borderId="109" xfId="0" applyFont="1" applyFill="1" applyBorder="1" applyAlignment="1" applyProtection="1">
      <alignment horizontal="center"/>
      <protection locked="0"/>
    </xf>
    <xf numFmtId="0" fontId="5" fillId="100" borderId="107" xfId="0" applyFont="1" applyFill="1" applyBorder="1" applyAlignment="1" applyProtection="1">
      <alignment horizontal="center"/>
      <protection locked="0"/>
    </xf>
    <xf numFmtId="0" fontId="37" fillId="73" borderId="0" xfId="0" applyFont="1" applyFill="1" applyAlignment="1">
      <alignment wrapText="1"/>
    </xf>
    <xf numFmtId="0" fontId="4" fillId="71" borderId="54" xfId="0" applyFont="1" applyFill="1" applyBorder="1" applyAlignment="1">
      <alignment wrapText="1"/>
    </xf>
    <xf numFmtId="164" fontId="5" fillId="100" borderId="106" xfId="0" applyNumberFormat="1" applyFont="1" applyFill="1" applyBorder="1" applyAlignment="1" applyProtection="1">
      <alignment horizontal="center"/>
      <protection locked="0"/>
    </xf>
    <xf numFmtId="164" fontId="5" fillId="100" borderId="109" xfId="0" applyNumberFormat="1" applyFont="1" applyFill="1" applyBorder="1" applyAlignment="1" applyProtection="1">
      <alignment horizontal="center"/>
      <protection locked="0"/>
    </xf>
    <xf numFmtId="164" fontId="5" fillId="100" borderId="107" xfId="0" applyNumberFormat="1" applyFont="1" applyFill="1" applyBorder="1" applyAlignment="1" applyProtection="1">
      <alignment horizontal="center"/>
      <protection locked="0"/>
    </xf>
    <xf numFmtId="165" fontId="5" fillId="100" borderId="106" xfId="0" applyNumberFormat="1" applyFont="1" applyFill="1" applyBorder="1" applyAlignment="1" applyProtection="1">
      <alignment horizontal="center"/>
      <protection locked="0"/>
    </xf>
    <xf numFmtId="165" fontId="5" fillId="100" borderId="109" xfId="0" applyNumberFormat="1" applyFont="1" applyFill="1" applyBorder="1" applyAlignment="1" applyProtection="1">
      <alignment horizontal="center"/>
      <protection locked="0"/>
    </xf>
    <xf numFmtId="165" fontId="5" fillId="100" borderId="107" xfId="0" applyNumberFormat="1" applyFont="1" applyFill="1" applyBorder="1" applyAlignment="1" applyProtection="1">
      <alignment horizontal="center"/>
      <protection locked="0"/>
    </xf>
    <xf numFmtId="9" fontId="5" fillId="100" borderId="106" xfId="0" applyNumberFormat="1" applyFont="1" applyFill="1" applyBorder="1" applyAlignment="1" applyProtection="1">
      <alignment horizontal="center"/>
      <protection locked="0"/>
    </xf>
    <xf numFmtId="9" fontId="5" fillId="100" borderId="109" xfId="0" applyNumberFormat="1" applyFont="1" applyFill="1" applyBorder="1" applyAlignment="1" applyProtection="1">
      <alignment horizontal="center"/>
      <protection locked="0"/>
    </xf>
    <xf numFmtId="9" fontId="5" fillId="100" borderId="107" xfId="0" applyNumberFormat="1" applyFont="1" applyFill="1" applyBorder="1" applyAlignment="1" applyProtection="1">
      <alignment horizontal="center"/>
      <protection locked="0"/>
    </xf>
    <xf numFmtId="0" fontId="34" fillId="69" borderId="0" xfId="0" applyFont="1" applyFill="1" applyAlignment="1">
      <alignment wrapText="1"/>
    </xf>
    <xf numFmtId="0" fontId="4" fillId="78" borderId="54" xfId="0" applyFont="1" applyFill="1" applyBorder="1" applyAlignment="1">
      <alignment vertical="center" wrapText="1"/>
    </xf>
    <xf numFmtId="0" fontId="42" fillId="82" borderId="0" xfId="0" applyFont="1" applyFill="1" applyAlignment="1">
      <alignment vertical="center" wrapText="1"/>
    </xf>
    <xf numFmtId="0" fontId="4" fillId="84" borderId="54" xfId="0" applyFont="1" applyFill="1" applyBorder="1" applyAlignment="1">
      <alignment wrapText="1"/>
    </xf>
    <xf numFmtId="0" fontId="34" fillId="77" borderId="0" xfId="0" applyFont="1" applyFill="1" applyAlignment="1">
      <alignment vertical="center" wrapText="1"/>
    </xf>
    <xf numFmtId="0" fontId="42" fillId="87" borderId="0" xfId="0" applyFont="1" applyFill="1" applyAlignment="1">
      <alignment wrapText="1"/>
    </xf>
    <xf numFmtId="0" fontId="34" fillId="90" borderId="0" xfId="0" applyFont="1" applyFill="1" applyAlignment="1">
      <alignment wrapText="1"/>
    </xf>
    <xf numFmtId="0" fontId="4" fillId="89" borderId="0" xfId="0" applyFont="1" applyFill="1" applyAlignment="1">
      <alignment horizontal="center" wrapText="1"/>
    </xf>
    <xf numFmtId="0" fontId="48" fillId="0" borderId="0" xfId="0" applyFont="1" applyAlignment="1">
      <alignment horizontal="right" wrapText="1"/>
    </xf>
    <xf numFmtId="0" fontId="49" fillId="0" borderId="0" xfId="0" applyFont="1" applyAlignment="1">
      <alignment horizontal="right" wrapText="1"/>
    </xf>
    <xf numFmtId="0" fontId="55" fillId="95" borderId="97" xfId="0" applyFont="1" applyFill="1" applyBorder="1" applyAlignment="1">
      <alignment vertical="center"/>
    </xf>
    <xf numFmtId="0" fontId="57" fillId="96" borderId="0" xfId="0" applyFont="1" applyFill="1" applyAlignment="1">
      <alignment vertical="center" wrapText="1"/>
    </xf>
    <xf numFmtId="0" fontId="34" fillId="90" borderId="0" xfId="0" applyFont="1" applyFill="1" applyAlignment="1">
      <alignment vertical="center"/>
    </xf>
    <xf numFmtId="0" fontId="58" fillId="92" borderId="106" xfId="0" applyFont="1" applyFill="1" applyBorder="1" applyAlignment="1" applyProtection="1">
      <alignment vertical="center" wrapText="1"/>
      <protection locked="0"/>
    </xf>
    <xf numFmtId="0" fontId="58" fillId="92" borderId="109" xfId="0" applyFont="1" applyFill="1" applyBorder="1" applyAlignment="1" applyProtection="1">
      <alignment vertical="center" wrapText="1"/>
      <protection locked="0"/>
    </xf>
    <xf numFmtId="0" fontId="58" fillId="92" borderId="107" xfId="0" applyFont="1" applyFill="1" applyBorder="1" applyAlignment="1" applyProtection="1">
      <alignment vertical="center" wrapText="1"/>
      <protection locked="0"/>
    </xf>
    <xf numFmtId="169" fontId="58" fillId="92" borderId="106" xfId="0" applyNumberFormat="1" applyFont="1" applyFill="1" applyBorder="1" applyAlignment="1" applyProtection="1">
      <alignment vertical="center" wrapText="1"/>
      <protection locked="0"/>
    </xf>
    <xf numFmtId="169" fontId="58" fillId="92" borderId="109" xfId="0" applyNumberFormat="1" applyFont="1" applyFill="1" applyBorder="1" applyAlignment="1" applyProtection="1">
      <alignment vertical="center" wrapText="1"/>
      <protection locked="0"/>
    </xf>
    <xf numFmtId="169" fontId="58" fillId="92" borderId="107" xfId="0" applyNumberFormat="1" applyFont="1" applyFill="1" applyBorder="1" applyAlignment="1" applyProtection="1">
      <alignment vertical="center" wrapText="1"/>
      <protection locked="0"/>
    </xf>
    <xf numFmtId="0" fontId="58" fillId="98" borderId="88" xfId="0" applyFont="1" applyFill="1" applyBorder="1" applyAlignment="1">
      <alignment vertical="center" wrapText="1"/>
    </xf>
    <xf numFmtId="0" fontId="58" fillId="98" borderId="89" xfId="0" applyFont="1" applyFill="1" applyBorder="1" applyAlignment="1">
      <alignment vertical="center" wrapText="1"/>
    </xf>
    <xf numFmtId="0" fontId="58" fillId="98" borderId="90" xfId="0" applyFont="1" applyFill="1" applyBorder="1" applyAlignment="1">
      <alignment vertical="center" wrapText="1"/>
    </xf>
    <xf numFmtId="0" fontId="58" fillId="98" borderId="120" xfId="0" applyFont="1" applyFill="1" applyBorder="1" applyAlignment="1" applyProtection="1">
      <alignment vertical="center" wrapText="1"/>
      <protection locked="0"/>
    </xf>
    <xf numFmtId="0" fontId="58" fillId="98" borderId="121" xfId="0" applyFont="1" applyFill="1" applyBorder="1" applyAlignment="1" applyProtection="1">
      <alignment vertical="center" wrapText="1"/>
      <protection locked="0"/>
    </xf>
    <xf numFmtId="0" fontId="34" fillId="97" borderId="79" xfId="0" applyFont="1" applyFill="1" applyBorder="1" applyAlignment="1">
      <alignment horizontal="center" vertical="center" wrapText="1"/>
    </xf>
    <xf numFmtId="0" fontId="34" fillId="97" borderId="101" xfId="0" applyFont="1" applyFill="1" applyBorder="1" applyAlignment="1">
      <alignment horizontal="center" vertical="center" wrapText="1"/>
    </xf>
    <xf numFmtId="0" fontId="34" fillId="97" borderId="99" xfId="0" applyFont="1" applyFill="1" applyBorder="1" applyAlignment="1">
      <alignment horizontal="center" vertical="center" wrapText="1"/>
    </xf>
    <xf numFmtId="0" fontId="34" fillId="97" borderId="100" xfId="0" applyFont="1" applyFill="1" applyBorder="1" applyAlignment="1">
      <alignment horizontal="center" vertical="center" wrapText="1"/>
    </xf>
    <xf numFmtId="0" fontId="34" fillId="97" borderId="0" xfId="0" applyFont="1" applyFill="1" applyAlignment="1">
      <alignment horizontal="center" vertical="center"/>
    </xf>
    <xf numFmtId="0" fontId="34" fillId="97" borderId="91" xfId="0" applyFont="1" applyFill="1" applyBorder="1" applyAlignment="1">
      <alignment horizontal="center" vertical="center"/>
    </xf>
    <xf numFmtId="0" fontId="60" fillId="98" borderId="88" xfId="0" applyFont="1" applyFill="1" applyBorder="1" applyAlignment="1">
      <alignment horizontal="center" vertical="center"/>
    </xf>
    <xf numFmtId="0" fontId="60" fillId="98" borderId="90" xfId="0" applyFont="1" applyFill="1" applyBorder="1" applyAlignment="1">
      <alignment horizontal="center" vertical="center"/>
    </xf>
    <xf numFmtId="0" fontId="0" fillId="0" borderId="91" xfId="0" applyBorder="1"/>
    <xf numFmtId="49" fontId="58" fillId="92" borderId="106" xfId="0" applyNumberFormat="1" applyFont="1" applyFill="1" applyBorder="1" applyAlignment="1" applyProtection="1">
      <alignment vertical="center" wrapText="1"/>
      <protection locked="0"/>
    </xf>
    <xf numFmtId="49" fontId="58" fillId="92" borderId="109" xfId="0" applyNumberFormat="1" applyFont="1" applyFill="1" applyBorder="1" applyAlignment="1" applyProtection="1">
      <alignment vertical="center" wrapText="1"/>
      <protection locked="0"/>
    </xf>
    <xf numFmtId="49" fontId="58" fillId="92" borderId="107" xfId="0" applyNumberFormat="1" applyFont="1" applyFill="1" applyBorder="1" applyAlignment="1" applyProtection="1">
      <alignment vertical="center" wrapText="1"/>
      <protection locked="0"/>
    </xf>
    <xf numFmtId="0" fontId="4" fillId="95" borderId="54" xfId="0" applyFont="1" applyFill="1" applyBorder="1" applyAlignment="1">
      <alignment wrapText="1"/>
    </xf>
    <xf numFmtId="0" fontId="29" fillId="14" borderId="0" xfId="0" applyFont="1" applyFill="1" applyAlignment="1">
      <alignment vertical="center" wrapText="1"/>
    </xf>
    <xf numFmtId="0" fontId="57" fillId="99" borderId="0" xfId="0" applyFont="1" applyFill="1" applyAlignment="1">
      <alignment wrapText="1"/>
    </xf>
    <xf numFmtId="0" fontId="34" fillId="94" borderId="0" xfId="0" applyFont="1" applyFill="1" applyAlignment="1">
      <alignment horizontal="center" vertical="center" wrapText="1"/>
    </xf>
    <xf numFmtId="0" fontId="41" fillId="92" borderId="106" xfId="0" applyFont="1" applyFill="1" applyBorder="1" applyAlignment="1" applyProtection="1">
      <alignment vertical="center" wrapText="1"/>
      <protection locked="0"/>
    </xf>
    <xf numFmtId="0" fontId="41" fillId="92" borderId="107" xfId="0" applyFont="1" applyFill="1" applyBorder="1" applyAlignment="1" applyProtection="1">
      <alignment vertical="center" wrapText="1"/>
      <protection locked="0"/>
    </xf>
    <xf numFmtId="0" fontId="41" fillId="98" borderId="88" xfId="0" applyFont="1" applyFill="1" applyBorder="1" applyAlignment="1">
      <alignment wrapText="1"/>
    </xf>
    <xf numFmtId="0" fontId="41" fillId="98" borderId="89" xfId="0" applyFont="1" applyFill="1" applyBorder="1" applyAlignment="1">
      <alignment wrapText="1"/>
    </xf>
    <xf numFmtId="0" fontId="41" fillId="98" borderId="90" xfId="0" applyFont="1" applyFill="1" applyBorder="1" applyAlignment="1">
      <alignment wrapText="1"/>
    </xf>
    <xf numFmtId="0" fontId="41" fillId="92" borderId="109" xfId="0" applyFont="1" applyFill="1" applyBorder="1" applyAlignment="1" applyProtection="1">
      <alignment vertical="center" wrapText="1"/>
      <protection locked="0"/>
    </xf>
  </cellXfs>
  <cellStyles count="2">
    <cellStyle name="Lien hypertexte" xfId="1" xr:uid="{00000000-0005-0000-0000-000000000000}"/>
    <cellStyle name="Normal" xfId="0" builtinId="0"/>
  </cellStyles>
  <dxfs count="722">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7F6000"/>
      </font>
      <fill>
        <patternFill>
          <bgColor rgb="FFFFF2CC"/>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2CC"/>
        </patternFill>
      </fill>
    </dxf>
    <dxf>
      <font>
        <b/>
        <color rgb="FF7F6000"/>
      </font>
      <fill>
        <patternFill>
          <bgColor rgb="FFFFF2CC"/>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C5221F"/>
      </font>
      <fill>
        <patternFill>
          <bgColor rgb="FFFDECEC"/>
        </patternFill>
      </fill>
    </dxf>
    <dxf>
      <font>
        <b/>
        <color rgb="FF7F6000"/>
      </font>
      <fill>
        <patternFill>
          <bgColor rgb="FFFFF3C4"/>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7F6000"/>
      </font>
      <fill>
        <patternFill>
          <bgColor rgb="FFFFF3C4"/>
        </patternFill>
      </fill>
    </dxf>
    <dxf>
      <font>
        <b/>
        <color rgb="FF108A44"/>
      </font>
      <fill>
        <patternFill>
          <bgColor rgb="FFE8F7EE"/>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108A44"/>
      </font>
      <fill>
        <patternFill>
          <bgColor rgb="FFE8F7EE"/>
        </patternFill>
      </fill>
    </dxf>
    <dxf>
      <font>
        <b/>
        <color rgb="FFC5221F"/>
      </font>
      <fill>
        <patternFill>
          <bgColor rgb="FFFDECEC"/>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font>
        <b/>
        <color rgb="FF7F6000"/>
      </font>
      <fill>
        <patternFill>
          <bgColor rgb="FFFFF3C4"/>
        </patternFill>
      </fill>
    </dxf>
    <dxf>
      <font>
        <b/>
        <color rgb="FFC5221F"/>
      </font>
      <fill>
        <patternFill>
          <bgColor rgb="FFFDECEC"/>
        </patternFill>
      </fill>
    </dxf>
    <dxf>
      <font>
        <b/>
        <color rgb="FF108A44"/>
      </font>
      <fill>
        <patternFill>
          <bgColor rgb="FFE8F7EE"/>
        </patternFill>
      </fill>
    </dxf>
    <dxf>
      <border diagonalUp="0" diagonalDown="0">
        <left/>
        <right style="thin">
          <color rgb="FFD7DEE8"/>
        </right>
        <top style="thin">
          <color rgb="FFD7DEE8"/>
        </top>
        <bottom style="thin">
          <color rgb="FFD7DEE8"/>
        </bottom>
        <vertical/>
        <horizontal style="thin">
          <color rgb="FFD7DEE8"/>
        </horizontal>
      </border>
    </dxf>
    <dxf>
      <border diagonalUp="0" diagonalDown="0">
        <left/>
        <right/>
        <top style="thin">
          <color rgb="FFD7DEE8"/>
        </top>
        <bottom style="thin">
          <color rgb="FFD7DEE8"/>
        </bottom>
        <vertical/>
        <horizontal style="thin">
          <color rgb="FFD7DEE8"/>
        </horizontal>
      </border>
    </dxf>
    <dxf>
      <border diagonalUp="0" diagonalDown="0">
        <left/>
        <right/>
        <top style="thin">
          <color rgb="FFD7DEE8"/>
        </top>
        <bottom style="thin">
          <color rgb="FFD7DEE8"/>
        </bottom>
        <vertical/>
        <horizontal style="thin">
          <color rgb="FFD7DEE8"/>
        </horizontal>
      </border>
    </dxf>
    <dxf>
      <border diagonalUp="0" diagonalDown="0">
        <left style="thin">
          <color rgb="FFD7DEE8"/>
        </left>
        <right/>
        <top style="thin">
          <color rgb="FFD7DEE8"/>
        </top>
        <bottom style="thin">
          <color rgb="FFD7DEE8"/>
        </bottom>
        <vertical/>
        <horizontal style="thin">
          <color rgb="FFD7DEE8"/>
        </horizontal>
      </border>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s>
  <tableStyles count="0" defaultTableStyle="TableStyleMedium2" defaultPivotStyle="PivotStyleLight16"/>
  <colors>
    <mruColors>
      <color rgb="FFD7DEE8"/>
      <color rgb="FFE8F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entes" displayName="Ventes" ref="G47:I51" totalsRowShown="0">
  <tableColumns count="3">
    <tableColumn id="1" xr3:uid="{00000000-0010-0000-0000-000001000000}" name="Produit"/>
    <tableColumn id="2" xr3:uid="{00000000-0010-0000-0000-000002000000}" name="Qté"/>
    <tableColumn id="3" xr3:uid="{00000000-0010-0000-0000-000003000000}" name="Monta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Ventes_C03E03" displayName="Ventes_C03E03" ref="B50:C54" totalsRowShown="0" dataDxfId="721">
  <autoFilter ref="B50:C54" xr:uid="{00000000-0009-0000-0100-000002000000}"/>
  <tableColumns count="2">
    <tableColumn id="1" xr3:uid="{00000000-0010-0000-0100-000001000000}" name="Produit" dataDxfId="720"/>
    <tableColumn id="2" xr3:uid="{00000000-0010-0000-0100-000002000000}" name="Montant" dataDxfId="71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estSousTotal_C03E23" displayName="TestSousTotal_C03E23" ref="B367:D372" totalsRowShown="0" dataDxfId="718">
  <autoFilter ref="B367:D372" xr:uid="{00000000-0009-0000-0100-000003000000}"/>
  <tableColumns count="3">
    <tableColumn id="1" xr3:uid="{00000000-0010-0000-0200-000001000000}" name="Client" dataDxfId="717"/>
    <tableColumn id="2" xr3:uid="{00000000-0010-0000-0200-000002000000}" name="Statut" dataDxfId="716"/>
    <tableColumn id="3" xr3:uid="{00000000-0010-0000-0200-000003000000}" name="Montant" dataDxfId="71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ommandes_C07E20" displayName="Commandes_C07E20" ref="B463:E471" totalsRowShown="0">
  <tableColumns count="4">
    <tableColumn id="1" xr3:uid="{00000000-0010-0000-0300-000001000000}" name="Commande" dataDxfId="714"/>
    <tableColumn id="2" xr3:uid="{00000000-0010-0000-0300-000002000000}" name="Client" dataDxfId="713"/>
    <tableColumn id="3" xr3:uid="{00000000-0010-0000-0300-000003000000}" name="Statut" dataDxfId="712"/>
    <tableColumn id="4" xr3:uid="{00000000-0010-0000-0300-000004000000}" name="Montant" dataDxfId="71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DiagPropagationTable" displayName="DiagPropagationTable" ref="B252:C256" totalsRowShown="0">
  <tableColumns count="2">
    <tableColumn id="1" xr3:uid="{00000000-0010-0000-0400-000001000000}" name="Client"/>
    <tableColumn id="2" xr3:uid="{00000000-0010-0000-0400-000002000000}" name="Résultat"/>
  </tableColumns>
  <tableStyleInfo name="TableStyleLight9"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showGridLines="0" workbookViewId="0"/>
  </sheetViews>
  <sheetFormatPr baseColWidth="10" defaultColWidth="9" defaultRowHeight="14.25"/>
  <cols>
    <col min="1" max="1" width="3" customWidth="1"/>
    <col min="2" max="6" width="24" customWidth="1"/>
    <col min="7" max="7" width="18" customWidth="1"/>
    <col min="8" max="10" width="15" customWidth="1"/>
    <col min="11" max="11" width="3" customWidth="1"/>
  </cols>
  <sheetData>
    <row r="1" spans="1:11" ht="21.95" customHeight="1">
      <c r="A1" s="1"/>
      <c r="B1" s="1"/>
      <c r="C1" s="1"/>
      <c r="D1" s="1"/>
      <c r="E1" s="1"/>
      <c r="F1" s="1"/>
      <c r="G1" s="1"/>
      <c r="H1" s="1"/>
      <c r="I1" s="1"/>
      <c r="J1" s="1"/>
      <c r="K1" s="1"/>
    </row>
    <row r="2" spans="1:11" ht="21.95" customHeight="1">
      <c r="A2" s="1"/>
      <c r="B2" s="3" t="s">
        <v>0</v>
      </c>
      <c r="C2" s="1"/>
      <c r="D2" s="1"/>
      <c r="E2" s="1"/>
      <c r="F2" s="1"/>
      <c r="G2" s="1"/>
      <c r="H2" s="1"/>
      <c r="I2" s="120" t="s">
        <v>1</v>
      </c>
      <c r="J2" s="1"/>
      <c r="K2" s="1"/>
    </row>
    <row r="3" spans="1:11" ht="21.95" customHeight="1">
      <c r="A3" s="1"/>
      <c r="B3" s="1"/>
      <c r="C3" s="1"/>
      <c r="D3" s="1"/>
      <c r="E3" s="1"/>
      <c r="F3" s="1"/>
      <c r="G3" s="1"/>
      <c r="H3" s="1"/>
      <c r="I3" s="1"/>
      <c r="J3" s="1"/>
      <c r="K3" s="1"/>
    </row>
    <row r="4" spans="1:11" ht="21.95" customHeight="1">
      <c r="A4" s="2"/>
      <c r="B4" s="2"/>
      <c r="C4" s="2"/>
      <c r="D4" s="2"/>
      <c r="E4" s="2"/>
      <c r="F4" s="2"/>
      <c r="G4" s="2"/>
      <c r="H4" s="2"/>
      <c r="I4" s="2"/>
      <c r="J4" s="2"/>
      <c r="K4" s="2"/>
    </row>
    <row r="5" spans="1:11">
      <c r="B5" s="490" t="s">
        <v>2</v>
      </c>
      <c r="C5" s="490"/>
      <c r="D5" s="490"/>
      <c r="E5" s="490"/>
      <c r="F5" s="490"/>
      <c r="G5" s="490"/>
    </row>
    <row r="6" spans="1:11">
      <c r="B6" s="490"/>
      <c r="C6" s="490"/>
      <c r="D6" s="490"/>
      <c r="E6" s="490"/>
      <c r="F6" s="490"/>
      <c r="G6" s="490"/>
    </row>
    <row r="8" spans="1:11" ht="15">
      <c r="B8" s="491" t="s">
        <v>3</v>
      </c>
      <c r="C8" s="491"/>
      <c r="D8" s="491"/>
      <c r="E8" s="491"/>
      <c r="F8" s="491"/>
      <c r="G8" s="491"/>
      <c r="H8" s="491"/>
      <c r="I8" s="491"/>
      <c r="J8" s="491"/>
    </row>
    <row r="9" spans="1:11">
      <c r="B9" s="492" t="s">
        <v>4</v>
      </c>
      <c r="C9" s="492"/>
      <c r="D9" s="492"/>
      <c r="E9" s="492"/>
      <c r="F9" s="492"/>
      <c r="G9" s="492"/>
      <c r="H9" s="492"/>
      <c r="I9" s="492"/>
      <c r="J9" s="492"/>
    </row>
    <row r="10" spans="1:11">
      <c r="B10" s="493"/>
      <c r="C10" s="493"/>
      <c r="D10" s="493"/>
      <c r="E10" s="493"/>
      <c r="F10" s="493"/>
      <c r="G10" s="493"/>
      <c r="H10" s="493"/>
      <c r="I10" s="493"/>
      <c r="J10" s="493"/>
    </row>
    <row r="12" spans="1:11" ht="15">
      <c r="B12" s="491" t="s">
        <v>5</v>
      </c>
      <c r="C12" s="491"/>
      <c r="D12" s="491"/>
      <c r="E12" s="491"/>
      <c r="F12" s="491"/>
      <c r="G12" s="491"/>
      <c r="H12" s="491"/>
      <c r="I12" s="491"/>
      <c r="J12" s="491"/>
    </row>
    <row r="13" spans="1:11">
      <c r="B13" s="492" t="s">
        <v>6</v>
      </c>
      <c r="C13" s="492"/>
      <c r="D13" s="492"/>
      <c r="E13" s="492"/>
      <c r="F13" s="492"/>
      <c r="G13" s="492"/>
      <c r="H13" s="492"/>
      <c r="I13" s="492"/>
      <c r="J13" s="492"/>
    </row>
    <row r="14" spans="1:11">
      <c r="B14" s="494" t="s">
        <v>7</v>
      </c>
      <c r="C14" s="494"/>
      <c r="D14" s="494"/>
      <c r="E14" s="494"/>
      <c r="F14" s="494"/>
      <c r="G14" s="494"/>
      <c r="H14" s="494"/>
      <c r="I14" s="494"/>
      <c r="J14" s="494"/>
    </row>
    <row r="15" spans="1:11">
      <c r="B15" s="61" t="s">
        <v>8</v>
      </c>
      <c r="C15" s="62"/>
      <c r="D15" s="63"/>
      <c r="E15" s="64" t="s">
        <v>9</v>
      </c>
      <c r="F15" s="65"/>
      <c r="G15" s="66"/>
    </row>
    <row r="16" spans="1:11">
      <c r="B16" s="67"/>
      <c r="C16" s="67"/>
      <c r="D16" s="67"/>
      <c r="E16" s="67"/>
      <c r="F16" s="67"/>
      <c r="G16" s="67"/>
    </row>
    <row r="17" spans="2:10" ht="15">
      <c r="B17" s="491" t="s">
        <v>10</v>
      </c>
      <c r="C17" s="491"/>
      <c r="D17" s="491"/>
      <c r="E17" s="491"/>
      <c r="F17" s="491"/>
      <c r="G17" s="491"/>
      <c r="H17" s="491"/>
      <c r="I17" s="491"/>
      <c r="J17" s="491"/>
    </row>
    <row r="18" spans="2:10">
      <c r="B18" s="492" t="s">
        <v>11</v>
      </c>
      <c r="C18" s="492"/>
      <c r="D18" s="492"/>
      <c r="E18" s="492"/>
      <c r="F18" s="492"/>
      <c r="G18" s="492"/>
      <c r="H18" s="492"/>
      <c r="I18" s="492"/>
      <c r="J18" s="492"/>
    </row>
    <row r="19" spans="2:10">
      <c r="B19" s="493"/>
      <c r="C19" s="493"/>
      <c r="D19" s="493"/>
      <c r="E19" s="493"/>
      <c r="F19" s="493"/>
      <c r="G19" s="493"/>
      <c r="H19" s="493"/>
      <c r="I19" s="493"/>
      <c r="J19" s="493"/>
    </row>
    <row r="21" spans="2:10" ht="15">
      <c r="B21" s="491" t="s">
        <v>12</v>
      </c>
      <c r="C21" s="491"/>
      <c r="D21" s="491"/>
      <c r="E21" s="491"/>
      <c r="F21" s="491"/>
      <c r="G21" s="491"/>
      <c r="H21" s="491"/>
      <c r="I21" s="491"/>
      <c r="J21" s="491"/>
    </row>
    <row r="22" spans="2:10" ht="72" customHeight="1">
      <c r="B22" s="492" t="s">
        <v>13</v>
      </c>
      <c r="C22" s="492"/>
      <c r="D22" s="492"/>
      <c r="E22" s="492"/>
      <c r="F22" s="492"/>
      <c r="G22" s="492"/>
      <c r="H22" s="492"/>
      <c r="I22" s="492"/>
      <c r="J22" s="492"/>
    </row>
    <row r="23" spans="2:10">
      <c r="B23" s="493"/>
      <c r="C23" s="493"/>
      <c r="D23" s="493"/>
      <c r="E23" s="493"/>
      <c r="F23" s="493"/>
      <c r="G23" s="493"/>
      <c r="H23" s="493"/>
      <c r="I23" s="493"/>
      <c r="J23" s="493"/>
    </row>
    <row r="25" spans="2:10" ht="15">
      <c r="B25" s="491" t="s">
        <v>14</v>
      </c>
      <c r="C25" s="491"/>
      <c r="D25" s="491"/>
      <c r="E25" s="491"/>
      <c r="F25" s="491"/>
      <c r="G25" s="491"/>
      <c r="H25" s="491"/>
      <c r="I25" s="491"/>
      <c r="J25" s="491"/>
    </row>
    <row r="26" spans="2:10">
      <c r="B26" s="492" t="s">
        <v>15</v>
      </c>
      <c r="C26" s="492"/>
      <c r="D26" s="492"/>
      <c r="E26" s="492"/>
      <c r="F26" s="492"/>
      <c r="G26" s="492"/>
      <c r="H26" s="492"/>
      <c r="I26" s="492"/>
      <c r="J26" s="492"/>
    </row>
    <row r="27" spans="2:10">
      <c r="B27" s="493"/>
      <c r="C27" s="493"/>
      <c r="D27" s="493"/>
      <c r="E27" s="493"/>
      <c r="F27" s="493"/>
      <c r="G27" s="493"/>
      <c r="H27" s="493"/>
      <c r="I27" s="493"/>
      <c r="J27" s="493"/>
    </row>
    <row r="29" spans="2:10" ht="15">
      <c r="B29" s="491" t="s">
        <v>16</v>
      </c>
      <c r="C29" s="491"/>
      <c r="D29" s="491"/>
      <c r="E29" s="491"/>
      <c r="F29" s="491"/>
      <c r="G29" s="491"/>
      <c r="H29" s="491"/>
      <c r="I29" s="491"/>
      <c r="J29" s="491"/>
    </row>
    <row r="30" spans="2:10">
      <c r="B30" s="492" t="s">
        <v>17</v>
      </c>
      <c r="C30" s="492"/>
      <c r="D30" s="492"/>
      <c r="E30" s="492"/>
      <c r="F30" s="492"/>
      <c r="G30" s="492"/>
      <c r="H30" s="492"/>
      <c r="I30" s="492"/>
      <c r="J30" s="492"/>
    </row>
    <row r="31" spans="2:10">
      <c r="B31" s="493"/>
      <c r="C31" s="493"/>
      <c r="D31" s="493"/>
      <c r="E31" s="493"/>
      <c r="F31" s="493"/>
      <c r="G31" s="493"/>
      <c r="H31" s="493"/>
      <c r="I31" s="493"/>
      <c r="J31" s="493"/>
    </row>
    <row r="33" spans="2:10" ht="15">
      <c r="B33" s="491" t="s">
        <v>18</v>
      </c>
      <c r="C33" s="491"/>
      <c r="D33" s="491"/>
      <c r="E33" s="491"/>
      <c r="F33" s="491"/>
      <c r="G33" s="491"/>
      <c r="H33" s="491"/>
      <c r="I33" s="491"/>
      <c r="J33" s="491"/>
    </row>
    <row r="34" spans="2:10">
      <c r="B34" s="492" t="s">
        <v>19</v>
      </c>
      <c r="C34" s="492"/>
      <c r="D34" s="492"/>
      <c r="E34" s="492"/>
      <c r="F34" s="492"/>
      <c r="G34" s="492"/>
      <c r="H34" s="492"/>
      <c r="I34" s="492"/>
      <c r="J34" s="492"/>
    </row>
    <row r="35" spans="2:10">
      <c r="B35" s="493"/>
      <c r="C35" s="493"/>
      <c r="D35" s="493"/>
      <c r="E35" s="493"/>
      <c r="F35" s="493"/>
      <c r="G35" s="493"/>
      <c r="H35" s="493"/>
      <c r="I35" s="493"/>
      <c r="J35" s="493"/>
    </row>
    <row r="37" spans="2:10" ht="15">
      <c r="B37" s="491" t="s">
        <v>20</v>
      </c>
      <c r="C37" s="491"/>
      <c r="D37" s="491"/>
      <c r="E37" s="491"/>
      <c r="F37" s="491"/>
      <c r="G37" s="491"/>
      <c r="H37" s="491"/>
      <c r="I37" s="491"/>
      <c r="J37" s="491"/>
    </row>
    <row r="38" spans="2:10">
      <c r="B38" s="492" t="s">
        <v>21</v>
      </c>
      <c r="C38" s="492"/>
      <c r="D38" s="492"/>
      <c r="E38" s="492"/>
      <c r="F38" s="492"/>
      <c r="G38" s="492"/>
      <c r="H38" s="492"/>
      <c r="I38" s="492"/>
      <c r="J38" s="492"/>
    </row>
    <row r="39" spans="2:10">
      <c r="B39" s="493"/>
      <c r="C39" s="493"/>
      <c r="D39" s="493"/>
      <c r="E39" s="493"/>
      <c r="F39" s="493"/>
      <c r="G39" s="493"/>
      <c r="H39" s="493"/>
      <c r="I39" s="493"/>
      <c r="J39" s="493"/>
    </row>
    <row r="40" spans="2:10" ht="5.0999999999999996" customHeight="1">
      <c r="B40" s="130"/>
      <c r="C40" s="130"/>
      <c r="D40" s="130"/>
      <c r="E40" s="130"/>
      <c r="F40" s="130"/>
      <c r="G40" s="130"/>
      <c r="H40" s="130"/>
      <c r="I40" s="130"/>
      <c r="J40" s="130"/>
    </row>
    <row r="41" spans="2:10" ht="5.0999999999999996" customHeight="1">
      <c r="B41" s="501"/>
      <c r="C41" s="501"/>
      <c r="D41" s="501"/>
      <c r="E41" s="501"/>
      <c r="F41" s="501"/>
      <c r="G41" s="501"/>
      <c r="H41" s="501"/>
      <c r="I41" s="501"/>
      <c r="J41" s="501"/>
    </row>
    <row r="42" spans="2:10" ht="5.0999999999999996" customHeight="1">
      <c r="B42" s="502"/>
      <c r="C42" s="502"/>
      <c r="D42" s="502"/>
      <c r="E42" s="502"/>
      <c r="F42" s="502"/>
      <c r="G42" s="502"/>
      <c r="H42" s="502"/>
      <c r="I42" s="502"/>
      <c r="J42" s="502"/>
    </row>
    <row r="43" spans="2:10" ht="5.0999999999999996" customHeight="1">
      <c r="B43" s="502"/>
      <c r="C43" s="502"/>
      <c r="D43" s="502"/>
      <c r="E43" s="502"/>
      <c r="F43" s="502"/>
      <c r="G43" s="502"/>
      <c r="H43" s="502"/>
      <c r="I43" s="502"/>
      <c r="J43" s="502"/>
    </row>
    <row r="44" spans="2:10" ht="5.0999999999999996" customHeight="1">
      <c r="B44" s="502"/>
      <c r="C44" s="502"/>
      <c r="D44" s="502"/>
      <c r="E44" s="502"/>
      <c r="F44" s="502"/>
      <c r="G44" s="502"/>
      <c r="H44" s="502"/>
      <c r="I44" s="502"/>
      <c r="J44" s="502"/>
    </row>
    <row r="45" spans="2:10" ht="5.0999999999999996" customHeight="1">
      <c r="B45" s="130"/>
      <c r="C45" s="130"/>
      <c r="D45" s="130"/>
      <c r="E45" s="130"/>
      <c r="F45" s="130"/>
      <c r="G45" s="130"/>
      <c r="H45" s="130"/>
      <c r="I45" s="130"/>
      <c r="J45" s="130"/>
    </row>
    <row r="46" spans="2:10" ht="20.100000000000001" customHeight="1">
      <c r="B46" s="495" t="s">
        <v>22</v>
      </c>
      <c r="C46" s="495"/>
      <c r="D46" s="495"/>
      <c r="E46" s="495"/>
      <c r="G46" s="496" t="s">
        <v>23</v>
      </c>
      <c r="H46" s="497"/>
      <c r="I46" s="497"/>
      <c r="J46" s="495"/>
    </row>
    <row r="47" spans="2:10">
      <c r="B47" s="4" t="s">
        <v>24</v>
      </c>
      <c r="C47" s="5" t="s">
        <v>25</v>
      </c>
      <c r="D47" s="6" t="s">
        <v>26</v>
      </c>
      <c r="G47" s="48" t="s">
        <v>24</v>
      </c>
      <c r="H47" s="49" t="s">
        <v>25</v>
      </c>
      <c r="I47" s="50" t="s">
        <v>26</v>
      </c>
    </row>
    <row r="48" spans="2:10">
      <c r="B48" s="7" t="s">
        <v>27</v>
      </c>
      <c r="C48" s="8">
        <v>2</v>
      </c>
      <c r="D48" s="9">
        <v>20</v>
      </c>
      <c r="G48" s="51" t="s">
        <v>27</v>
      </c>
      <c r="H48" s="52">
        <v>2</v>
      </c>
      <c r="I48" s="53">
        <v>20</v>
      </c>
    </row>
    <row r="49" spans="2:10">
      <c r="B49" s="10" t="s">
        <v>28</v>
      </c>
      <c r="C49" s="11">
        <v>1</v>
      </c>
      <c r="D49" s="12">
        <v>15</v>
      </c>
      <c r="G49" s="54" t="s">
        <v>28</v>
      </c>
      <c r="H49" s="55">
        <v>1</v>
      </c>
      <c r="I49" s="56">
        <v>15</v>
      </c>
    </row>
    <row r="50" spans="2:10">
      <c r="B50" s="10" t="s">
        <v>29</v>
      </c>
      <c r="C50" s="11">
        <v>3</v>
      </c>
      <c r="D50" s="12">
        <v>45</v>
      </c>
      <c r="G50" s="54" t="s">
        <v>29</v>
      </c>
      <c r="H50" s="55">
        <v>3</v>
      </c>
      <c r="I50" s="56">
        <v>45</v>
      </c>
    </row>
    <row r="51" spans="2:10">
      <c r="B51" s="13" t="s">
        <v>30</v>
      </c>
      <c r="C51" s="14">
        <v>2</v>
      </c>
      <c r="D51" s="15">
        <v>30</v>
      </c>
      <c r="G51" s="57" t="s">
        <v>30</v>
      </c>
      <c r="H51" s="58">
        <v>2</v>
      </c>
      <c r="I51" s="59">
        <v>30</v>
      </c>
    </row>
    <row r="53" spans="2:10">
      <c r="B53" s="16" t="s">
        <v>31</v>
      </c>
      <c r="C53" s="16"/>
      <c r="D53" s="16"/>
      <c r="E53" s="16"/>
      <c r="G53" s="16" t="s">
        <v>32</v>
      </c>
      <c r="H53" s="16"/>
      <c r="I53" s="16"/>
      <c r="J53" s="16"/>
    </row>
    <row r="54" spans="2:10" ht="72" customHeight="1">
      <c r="G54" s="60" t="s">
        <v>33</v>
      </c>
      <c r="H54" s="17"/>
      <c r="I54" s="17"/>
      <c r="J54" s="17"/>
    </row>
    <row r="55" spans="2:10">
      <c r="B55" s="498"/>
      <c r="C55" s="498"/>
      <c r="D55" s="498"/>
      <c r="E55" s="498"/>
      <c r="F55" s="498"/>
      <c r="G55" s="499"/>
      <c r="H55" s="499"/>
      <c r="I55" s="499"/>
      <c r="J55" s="499"/>
    </row>
    <row r="56" spans="2:10">
      <c r="B56" s="500" t="s">
        <v>34</v>
      </c>
      <c r="C56" s="500"/>
      <c r="D56" s="500"/>
      <c r="E56" s="500"/>
      <c r="F56" s="500"/>
      <c r="G56" s="500"/>
      <c r="H56" s="500"/>
      <c r="I56" s="500"/>
      <c r="J56" s="500"/>
    </row>
    <row r="57" spans="2:10">
      <c r="B57" s="18"/>
      <c r="C57" s="18"/>
      <c r="D57" s="18"/>
      <c r="E57" s="18"/>
      <c r="F57" s="18"/>
      <c r="G57" s="18"/>
      <c r="H57" s="18"/>
      <c r="I57" s="18"/>
      <c r="J57" s="18"/>
    </row>
  </sheetData>
  <sheetProtection sheet="1" objects="1" scenarios="1"/>
  <mergeCells count="22">
    <mergeCell ref="B46:E46"/>
    <mergeCell ref="G46:J46"/>
    <mergeCell ref="B55:J56"/>
    <mergeCell ref="B37:J37"/>
    <mergeCell ref="B38:J39"/>
    <mergeCell ref="B41:J41"/>
    <mergeCell ref="B42:J44"/>
    <mergeCell ref="B26:J27"/>
    <mergeCell ref="B29:J29"/>
    <mergeCell ref="B30:J31"/>
    <mergeCell ref="B33:J33"/>
    <mergeCell ref="B34:J35"/>
    <mergeCell ref="B17:J17"/>
    <mergeCell ref="B18:J19"/>
    <mergeCell ref="B21:J21"/>
    <mergeCell ref="B22:J23"/>
    <mergeCell ref="B25:J25"/>
    <mergeCell ref="B5:G6"/>
    <mergeCell ref="B8:J8"/>
    <mergeCell ref="B9:J10"/>
    <mergeCell ref="B12:J12"/>
    <mergeCell ref="B13:J14"/>
  </mergeCells>
  <hyperlinks>
    <hyperlink ref="I2" location="SOMMAIRE!A1" display="SOMMAIRE" xr:uid="{00000000-0004-0000-0000-000000000000}"/>
  </hyperlink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09"/>
  <sheetViews>
    <sheetView showGridLines="0" tabSelected="1" workbookViewId="0"/>
  </sheetViews>
  <sheetFormatPr baseColWidth="10" defaultColWidth="9" defaultRowHeight="14.25"/>
  <cols>
    <col min="1" max="1" width="3" customWidth="1"/>
    <col min="2" max="2" width="32" customWidth="1"/>
    <col min="3" max="3" width="52" customWidth="1"/>
    <col min="4" max="7" width="6" customWidth="1"/>
    <col min="8" max="8" width="7" customWidth="1"/>
    <col min="9" max="9" width="12" customWidth="1"/>
    <col min="10" max="10" width="13" customWidth="1"/>
    <col min="11" max="13" width="3" customWidth="1"/>
    <col min="14" max="16" width="18" hidden="1" customWidth="1"/>
    <col min="17" max="18" width="11" hidden="1" customWidth="1"/>
    <col min="19" max="27" width="0" hidden="1" customWidth="1"/>
  </cols>
  <sheetData>
    <row r="1" spans="1:27" ht="21.95" customHeight="1">
      <c r="A1" s="1"/>
      <c r="B1" s="1"/>
      <c r="C1" s="1"/>
      <c r="D1" s="1"/>
      <c r="E1" s="1"/>
      <c r="F1" s="1"/>
      <c r="G1" s="1"/>
      <c r="H1" s="1"/>
      <c r="I1" s="1"/>
      <c r="J1" s="1"/>
      <c r="K1" s="1"/>
      <c r="N1" s="29" t="s">
        <v>35</v>
      </c>
      <c r="O1" s="29"/>
      <c r="P1" s="29"/>
      <c r="Q1" s="29"/>
      <c r="R1" s="29"/>
    </row>
    <row r="2" spans="1:27" ht="21.95" customHeight="1">
      <c r="A2" s="1"/>
      <c r="B2" s="3" t="s">
        <v>36</v>
      </c>
      <c r="C2" s="1"/>
      <c r="D2" s="1"/>
      <c r="E2" s="1"/>
      <c r="F2" s="1"/>
      <c r="G2" s="1"/>
      <c r="H2" s="1"/>
      <c r="I2" s="131" t="s">
        <v>0</v>
      </c>
      <c r="J2" s="1"/>
      <c r="K2" s="1"/>
      <c r="N2" t="s">
        <v>37</v>
      </c>
      <c r="O2">
        <f>IF(B7="Excel 2016",1,IF(B7="Excel 2019",2,IF(B7="Excel 2021",3,IF(B7="Excel 2024",4,5))))</f>
        <v>5</v>
      </c>
    </row>
    <row r="3" spans="1:27" ht="21.95" customHeight="1">
      <c r="A3" s="1"/>
      <c r="B3" s="1"/>
      <c r="C3" s="1"/>
      <c r="D3" s="1"/>
      <c r="E3" s="1"/>
      <c r="F3" s="1"/>
      <c r="G3" s="1"/>
      <c r="H3" s="1"/>
      <c r="I3" s="1"/>
      <c r="J3" s="1"/>
      <c r="K3" s="1"/>
    </row>
    <row r="4" spans="1:27" ht="21.95" customHeight="1">
      <c r="A4" s="2"/>
      <c r="B4" s="2"/>
      <c r="C4" s="2"/>
      <c r="D4" s="2"/>
      <c r="E4" s="2"/>
      <c r="F4" s="2"/>
      <c r="G4" s="2"/>
      <c r="H4" s="2"/>
      <c r="I4" s="2"/>
      <c r="J4" s="2"/>
      <c r="K4" s="2"/>
    </row>
    <row r="6" spans="1:27">
      <c r="B6" s="504" t="s">
        <v>38</v>
      </c>
      <c r="C6" s="504"/>
      <c r="D6" s="507" t="s">
        <v>39</v>
      </c>
      <c r="E6" s="507"/>
      <c r="F6" s="507"/>
      <c r="G6" s="507"/>
      <c r="H6" s="495" t="s">
        <v>40</v>
      </c>
      <c r="I6" s="495"/>
      <c r="J6" s="495"/>
    </row>
    <row r="7" spans="1:27" ht="16.5">
      <c r="B7" s="505" t="s">
        <v>41</v>
      </c>
      <c r="C7" s="506"/>
      <c r="D7" s="508" t="str">
        <f>IF(SUM($S$10:$S$609)=0,"0/0",SUM($T$10:$T$609)&amp;"/"&amp;SUM($S$10:$S$609))</f>
        <v>0/232</v>
      </c>
      <c r="E7" s="509"/>
      <c r="F7" s="510" t="str">
        <f>IF(SUM($S$10:$S$609)=0,"",IF(SUM($T$10:$T$609)=0,"0%",SUM($T$10:$T$609)/SUM($S$10:$S$609)))</f>
        <v>0%</v>
      </c>
      <c r="G7" s="511"/>
      <c r="H7" s="19" t="s">
        <v>42</v>
      </c>
      <c r="I7" s="20" t="s">
        <v>43</v>
      </c>
      <c r="J7" s="20"/>
    </row>
    <row r="8" spans="1:27" ht="16.5">
      <c r="H8" s="21" t="s">
        <v>42</v>
      </c>
      <c r="I8" s="20" t="s">
        <v>44</v>
      </c>
      <c r="J8" s="20"/>
    </row>
    <row r="9" spans="1:27" ht="16.5">
      <c r="H9" s="22" t="s">
        <v>42</v>
      </c>
      <c r="I9" s="20" t="s">
        <v>45</v>
      </c>
      <c r="J9" s="20"/>
      <c r="N9" s="116" t="s">
        <v>46</v>
      </c>
      <c r="O9" s="117" t="s">
        <v>47</v>
      </c>
      <c r="P9" s="117" t="s">
        <v>48</v>
      </c>
      <c r="Q9" s="117" t="s">
        <v>49</v>
      </c>
      <c r="R9" s="118" t="s">
        <v>50</v>
      </c>
      <c r="S9" s="31" t="s">
        <v>51</v>
      </c>
      <c r="T9" s="31" t="s">
        <v>52</v>
      </c>
      <c r="U9" s="31" t="s">
        <v>53</v>
      </c>
      <c r="V9" s="31" t="s">
        <v>44</v>
      </c>
      <c r="W9" s="31" t="s">
        <v>45</v>
      </c>
      <c r="X9" s="31" t="s">
        <v>54</v>
      </c>
      <c r="Y9" s="31" t="s">
        <v>55</v>
      </c>
      <c r="Z9" s="31" t="s">
        <v>56</v>
      </c>
      <c r="AA9" s="31" t="s">
        <v>57</v>
      </c>
    </row>
    <row r="10" spans="1:27" ht="16.5" customHeight="1">
      <c r="H10" s="23" t="s">
        <v>42</v>
      </c>
      <c r="I10" s="20" t="s">
        <v>54</v>
      </c>
      <c r="J10" s="20"/>
      <c r="N10" s="119" t="s">
        <v>58</v>
      </c>
      <c r="O10" s="119">
        <v>1</v>
      </c>
      <c r="P10" s="119" t="s">
        <v>59</v>
      </c>
      <c r="Q10" s="119" t="s">
        <v>60</v>
      </c>
      <c r="R10" s="119">
        <v>1</v>
      </c>
      <c r="S10" s="32">
        <f t="shared" ref="S10:S73" si="0">IF(R10&lt;&gt;1,0,--OR(U10=1,AND($O$2&gt;=2,V10=1),AND($O$2&gt;=3,W10=1),AND($O$2&gt;=4,X10=1),AND($O$2&gt;=5,Y10=1)))</f>
        <v>1</v>
      </c>
      <c r="T10" s="32">
        <f>--('Ch.1 - Lire une formule'!I27="✓ Correct")</f>
        <v>0</v>
      </c>
      <c r="U10" s="32">
        <v>1</v>
      </c>
      <c r="V10" s="32">
        <v>0</v>
      </c>
      <c r="W10" s="32">
        <v>0</v>
      </c>
      <c r="X10" s="32">
        <v>0</v>
      </c>
      <c r="Y10" s="32">
        <v>0</v>
      </c>
      <c r="Z10" s="32" t="s">
        <v>61</v>
      </c>
      <c r="AA10" s="32" t="s">
        <v>62</v>
      </c>
    </row>
    <row r="11" spans="1:27" ht="16.5" customHeight="1">
      <c r="H11" s="24" t="s">
        <v>42</v>
      </c>
      <c r="I11" s="20" t="s">
        <v>41</v>
      </c>
      <c r="J11" s="20"/>
      <c r="N11" s="119" t="s">
        <v>63</v>
      </c>
      <c r="O11" s="119">
        <v>1</v>
      </c>
      <c r="P11" s="119" t="s">
        <v>59</v>
      </c>
      <c r="Q11" s="119" t="s">
        <v>64</v>
      </c>
      <c r="R11" s="119">
        <v>1</v>
      </c>
      <c r="S11" s="32">
        <f t="shared" si="0"/>
        <v>1</v>
      </c>
      <c r="T11" s="32">
        <f>--('Ch.1 - Lire une formule'!I37="✓ Correct")</f>
        <v>0</v>
      </c>
      <c r="U11" s="32">
        <v>1</v>
      </c>
      <c r="V11" s="32">
        <v>0</v>
      </c>
      <c r="W11" s="32">
        <v>0</v>
      </c>
      <c r="X11" s="32">
        <v>0</v>
      </c>
      <c r="Y11" s="32">
        <v>0</v>
      </c>
      <c r="Z11" s="32" t="s">
        <v>65</v>
      </c>
      <c r="AA11" s="32" t="s">
        <v>62</v>
      </c>
    </row>
    <row r="12" spans="1:27" ht="12.75" customHeight="1">
      <c r="N12" s="119" t="s">
        <v>66</v>
      </c>
      <c r="O12" s="119">
        <v>1</v>
      </c>
      <c r="P12" s="119" t="s">
        <v>67</v>
      </c>
      <c r="Q12" s="119" t="s">
        <v>68</v>
      </c>
      <c r="R12" s="119">
        <v>1</v>
      </c>
      <c r="S12" s="32">
        <f t="shared" si="0"/>
        <v>1</v>
      </c>
      <c r="T12" s="32">
        <f>--('Ch.1 - Lire une formule'!I49="✓ Correct")</f>
        <v>0</v>
      </c>
      <c r="U12" s="32">
        <v>1</v>
      </c>
      <c r="V12" s="32">
        <v>0</v>
      </c>
      <c r="W12" s="32">
        <v>0</v>
      </c>
      <c r="X12" s="32">
        <v>0</v>
      </c>
      <c r="Y12" s="32">
        <v>0</v>
      </c>
      <c r="Z12" s="32" t="s">
        <v>69</v>
      </c>
      <c r="AA12" s="32" t="s">
        <v>62</v>
      </c>
    </row>
    <row r="13" spans="1:27" ht="12.75" customHeight="1">
      <c r="N13" s="119" t="s">
        <v>70</v>
      </c>
      <c r="O13" s="119">
        <v>1</v>
      </c>
      <c r="P13" s="119" t="s">
        <v>71</v>
      </c>
      <c r="Q13" s="119" t="s">
        <v>72</v>
      </c>
      <c r="R13" s="119">
        <v>1</v>
      </c>
      <c r="S13" s="32">
        <f t="shared" si="0"/>
        <v>1</v>
      </c>
      <c r="T13" s="32">
        <f>--('Ch.1 - Lire une formule'!I61="✓ Correct")</f>
        <v>0</v>
      </c>
      <c r="U13" s="32">
        <v>1</v>
      </c>
      <c r="V13" s="32">
        <v>0</v>
      </c>
      <c r="W13" s="32">
        <v>0</v>
      </c>
      <c r="X13" s="32">
        <v>0</v>
      </c>
      <c r="Y13" s="32">
        <v>0</v>
      </c>
      <c r="Z13" s="32" t="s">
        <v>73</v>
      </c>
      <c r="AA13" s="32" t="s">
        <v>62</v>
      </c>
    </row>
    <row r="14" spans="1:27" ht="14.25" customHeight="1">
      <c r="N14" s="119" t="s">
        <v>74</v>
      </c>
      <c r="O14" s="119">
        <v>1</v>
      </c>
      <c r="P14" s="119" t="s">
        <v>75</v>
      </c>
      <c r="Q14" s="119" t="s">
        <v>76</v>
      </c>
      <c r="R14" s="119">
        <v>1</v>
      </c>
      <c r="S14" s="32">
        <f t="shared" si="0"/>
        <v>1</v>
      </c>
      <c r="T14" s="32">
        <f>--('Ch.1 - Lire une formule'!I75="✓ Correct")</f>
        <v>0</v>
      </c>
      <c r="U14" s="32">
        <v>1</v>
      </c>
      <c r="V14" s="32">
        <v>0</v>
      </c>
      <c r="W14" s="32">
        <v>0</v>
      </c>
      <c r="X14" s="32">
        <v>0</v>
      </c>
      <c r="Y14" s="32">
        <v>0</v>
      </c>
      <c r="Z14" s="32" t="s">
        <v>77</v>
      </c>
      <c r="AA14" s="32" t="s">
        <v>62</v>
      </c>
    </row>
    <row r="15" spans="1:27" ht="26.1" customHeight="1">
      <c r="B15" s="30" t="s">
        <v>78</v>
      </c>
      <c r="C15" s="30" t="s">
        <v>79</v>
      </c>
      <c r="D15" s="503" t="s">
        <v>80</v>
      </c>
      <c r="E15" s="503" t="s">
        <v>44</v>
      </c>
      <c r="F15" s="503" t="s">
        <v>45</v>
      </c>
      <c r="G15" s="503" t="s">
        <v>54</v>
      </c>
      <c r="H15" s="503" t="s">
        <v>55</v>
      </c>
      <c r="I15" s="30" t="s">
        <v>81</v>
      </c>
      <c r="J15" s="30" t="s">
        <v>82</v>
      </c>
      <c r="N15" s="119" t="s">
        <v>83</v>
      </c>
      <c r="O15" s="119">
        <v>1</v>
      </c>
      <c r="P15" s="119" t="s">
        <v>75</v>
      </c>
      <c r="Q15" s="119" t="s">
        <v>84</v>
      </c>
      <c r="R15" s="119">
        <v>1</v>
      </c>
      <c r="S15" s="32">
        <f t="shared" si="0"/>
        <v>1</v>
      </c>
      <c r="T15" s="32">
        <f>--('Ch.1 - Lire une formule'!I87="✓ Correct")</f>
        <v>0</v>
      </c>
      <c r="U15" s="32">
        <v>1</v>
      </c>
      <c r="V15" s="32">
        <v>0</v>
      </c>
      <c r="W15" s="32">
        <v>0</v>
      </c>
      <c r="X15" s="32">
        <v>0</v>
      </c>
      <c r="Y15" s="32">
        <v>0</v>
      </c>
      <c r="Z15" s="32" t="s">
        <v>85</v>
      </c>
      <c r="AA15" s="32" t="s">
        <v>62</v>
      </c>
    </row>
    <row r="16" spans="1:27" ht="21.95" customHeight="1">
      <c r="B16" s="33" t="s">
        <v>86</v>
      </c>
      <c r="C16" s="33"/>
      <c r="D16" s="33"/>
      <c r="E16" s="33"/>
      <c r="F16" s="33"/>
      <c r="G16" s="33"/>
      <c r="H16" s="33"/>
      <c r="I16" s="93" t="str">
        <f>IF(SUMIFS($S$10:$S$609,$O$10:$O$609,1)=0,"—",SUMIFS($T$10:$T$609,$O$10:$O$609,1)&amp;"/"&amp;SUMIFS($S$10:$S$609,$O$10:$O$609,1))</f>
        <v>0/13</v>
      </c>
      <c r="J16" s="94" t="str">
        <f>IF(SUMIFS($S$10:$S$609,$O$10:$O$609,1)=0,"",IF(SUMIFS($T$10:$T$609,$O$10:$O$609,1)=0,"0%",SUMIFS($T$10:$T$609,$O$10:$O$609,1)/SUMIFS($S$10:$S$609,$O$10:$O$609,1)))</f>
        <v>0%</v>
      </c>
      <c r="N16" s="119" t="s">
        <v>87</v>
      </c>
      <c r="O16" s="119">
        <v>1</v>
      </c>
      <c r="P16" s="119" t="s">
        <v>75</v>
      </c>
      <c r="Q16" s="119" t="s">
        <v>88</v>
      </c>
      <c r="R16" s="119">
        <v>1</v>
      </c>
      <c r="S16" s="32">
        <f t="shared" si="0"/>
        <v>1</v>
      </c>
      <c r="T16" s="32">
        <f>--('Ch.1 - Lire une formule'!I100="✓ Correct")</f>
        <v>0</v>
      </c>
      <c r="U16" s="32">
        <v>1</v>
      </c>
      <c r="V16" s="32">
        <v>0</v>
      </c>
      <c r="W16" s="32">
        <v>0</v>
      </c>
      <c r="X16" s="32">
        <v>0</v>
      </c>
      <c r="Y16" s="32">
        <v>0</v>
      </c>
      <c r="Z16" s="32" t="s">
        <v>89</v>
      </c>
      <c r="AA16" s="32" t="s">
        <v>62</v>
      </c>
    </row>
    <row r="17" spans="2:27" ht="33.950000000000003" customHeight="1">
      <c r="B17" s="35" t="s">
        <v>90</v>
      </c>
      <c r="C17" s="34" t="s">
        <v>91</v>
      </c>
      <c r="D17" s="36" t="str">
        <f>IF(COUNTIFS($P$10:$P$609,"C01E01",$R$10:$R$609,1,$U$10:$U$609,1)&gt;0,"●","")</f>
        <v>●</v>
      </c>
      <c r="E17" s="37" t="str">
        <f>IF(COUNTIFS($P$10:$P$609,"C01E01",$R$10:$R$609,1,$V$10:$V$609,1)&gt;0,"●","")</f>
        <v/>
      </c>
      <c r="F17" s="38" t="str">
        <f>IF(COUNTIFS($P$10:$P$609,"C01E01",$R$10:$R$609,1,$W$10:$W$609,1)&gt;0,"●","")</f>
        <v/>
      </c>
      <c r="G17" s="39" t="str">
        <f>IF(COUNTIFS($P$10:$P$609,"C01E01",$R$10:$R$609,1,$X$10:$X$609,1)&gt;0,"●","")</f>
        <v/>
      </c>
      <c r="H17" s="40" t="str">
        <f>IF(COUNTIFS($P$10:$P$609,"C01E01",$R$10:$R$609,1,$Y$10:$Y$609,1)&gt;0,"●","")</f>
        <v/>
      </c>
      <c r="I17" s="78" t="str">
        <f>IF(SUMIFS($S$10:$S$609,$P$10:$P$609,"C01E01")=0,"—",SUMIFS($T$10:$T$609,$P$10:$P$609,"C01E01")&amp;"/"&amp;SUMIFS($S$10:$S$609,$P$10:$P$609,"C01E01"))</f>
        <v>0/2</v>
      </c>
      <c r="J17" s="89" t="str">
        <f>IF(SUMIFS($S$10:$S$609,$P$10:$P$609,"C01E01")=0,"",IF(SUMIFS($T$10:$T$609,$P$10:$P$609,"C01E01")=0,"0%",SUMIFS($T$10:$T$609,$P$10:$P$609,"C01E01")/SUMIFS($S$10:$S$609,$P$10:$P$609,"C01E01")))</f>
        <v>0%</v>
      </c>
      <c r="N17" s="119" t="s">
        <v>92</v>
      </c>
      <c r="O17" s="119">
        <v>1</v>
      </c>
      <c r="P17" s="119" t="s">
        <v>93</v>
      </c>
      <c r="Q17" s="119" t="s">
        <v>94</v>
      </c>
      <c r="R17" s="119">
        <v>1</v>
      </c>
      <c r="S17" s="32">
        <f t="shared" si="0"/>
        <v>1</v>
      </c>
      <c r="T17" s="32">
        <f>--('Ch.1 - Lire une formule'!I112="✓ Correct")</f>
        <v>0</v>
      </c>
      <c r="U17" s="32">
        <v>1</v>
      </c>
      <c r="V17" s="32">
        <v>0</v>
      </c>
      <c r="W17" s="32">
        <v>0</v>
      </c>
      <c r="X17" s="32">
        <v>0</v>
      </c>
      <c r="Y17" s="32">
        <v>0</v>
      </c>
      <c r="Z17" s="32" t="s">
        <v>95</v>
      </c>
      <c r="AA17" s="32" t="s">
        <v>62</v>
      </c>
    </row>
    <row r="18" spans="2:27" ht="33.950000000000003" customHeight="1">
      <c r="B18" s="35" t="s">
        <v>96</v>
      </c>
      <c r="C18" s="34" t="s">
        <v>97</v>
      </c>
      <c r="D18" s="36" t="str">
        <f>IF(COUNTIFS($P$10:$P$609,"C01E02",$R$10:$R$609,1,$U$10:$U$609,1)&gt;0,"●","")</f>
        <v>●</v>
      </c>
      <c r="E18" s="37" t="str">
        <f>IF(COUNTIFS($P$10:$P$609,"C01E02",$R$10:$R$609,1,$V$10:$V$609,1)&gt;0,"●","")</f>
        <v/>
      </c>
      <c r="F18" s="38" t="str">
        <f>IF(COUNTIFS($P$10:$P$609,"C01E02",$R$10:$R$609,1,$W$10:$W$609,1)&gt;0,"●","")</f>
        <v/>
      </c>
      <c r="G18" s="39" t="str">
        <f>IF(COUNTIFS($P$10:$P$609,"C01E02",$R$10:$R$609,1,$X$10:$X$609,1)&gt;0,"●","")</f>
        <v/>
      </c>
      <c r="H18" s="40" t="str">
        <f>IF(COUNTIFS($P$10:$P$609,"C01E02",$R$10:$R$609,1,$Y$10:$Y$609,1)&gt;0,"●","")</f>
        <v/>
      </c>
      <c r="I18" s="41" t="str">
        <f>IF(SUMIFS($S$10:$S$609,$P$10:$P$609,"C01E02")=0,"—",SUMIFS($T$10:$T$609,$P$10:$P$609,"C01E02")&amp;"/"&amp;SUMIFS($S$10:$S$609,$P$10:$P$609,"C01E02"))</f>
        <v>0/1</v>
      </c>
      <c r="J18" s="86" t="str">
        <f>IF(SUMIFS($S$10:$S$609,$P$10:$P$609,"C01E02")=0,"",IF(SUMIFS($T$10:$T$609,$P$10:$P$609,"C01E02")=0,"0%",SUMIFS($T$10:$T$609,$P$10:$P$609,"C01E02")/SUMIFS($S$10:$S$609,$P$10:$P$609,"C01E02")))</f>
        <v>0%</v>
      </c>
      <c r="N18" s="32" t="s">
        <v>98</v>
      </c>
      <c r="O18" s="32">
        <v>1</v>
      </c>
      <c r="P18" s="32" t="s">
        <v>93</v>
      </c>
      <c r="Q18" s="32" t="s">
        <v>99</v>
      </c>
      <c r="R18" s="32">
        <v>1</v>
      </c>
      <c r="S18" s="32">
        <f t="shared" si="0"/>
        <v>1</v>
      </c>
      <c r="T18" s="32">
        <f>--('Ch.1 - Lire une formule'!I122="✓ Correct")</f>
        <v>0</v>
      </c>
      <c r="U18" s="32">
        <v>1</v>
      </c>
      <c r="V18" s="32">
        <v>0</v>
      </c>
      <c r="W18" s="32">
        <v>0</v>
      </c>
      <c r="X18" s="32">
        <v>0</v>
      </c>
      <c r="Y18" s="32">
        <v>0</v>
      </c>
      <c r="Z18" s="32" t="s">
        <v>100</v>
      </c>
      <c r="AA18" s="32" t="s">
        <v>62</v>
      </c>
    </row>
    <row r="19" spans="2:27" ht="33.950000000000003" customHeight="1">
      <c r="B19" s="35" t="s">
        <v>101</v>
      </c>
      <c r="C19" s="34" t="s">
        <v>102</v>
      </c>
      <c r="D19" s="36" t="str">
        <f>IF(COUNTIFS($P$10:$P$609,"C01E03",$R$10:$R$609,1,$U$10:$U$609,1)&gt;0,"●","")</f>
        <v>●</v>
      </c>
      <c r="E19" s="37" t="str">
        <f>IF(COUNTIFS($P$10:$P$609,"C01E03",$R$10:$R$609,1,$V$10:$V$609,1)&gt;0,"●","")</f>
        <v/>
      </c>
      <c r="F19" s="38" t="str">
        <f>IF(COUNTIFS($P$10:$P$609,"C01E03",$R$10:$R$609,1,$W$10:$W$609,1)&gt;0,"●","")</f>
        <v/>
      </c>
      <c r="G19" s="39" t="str">
        <f>IF(COUNTIFS($P$10:$P$609,"C01E03",$R$10:$R$609,1,$X$10:$X$609,1)&gt;0,"●","")</f>
        <v/>
      </c>
      <c r="H19" s="40" t="str">
        <f>IF(COUNTIFS($P$10:$P$609,"C01E03",$R$10:$R$609,1,$Y$10:$Y$609,1)&gt;0,"●","")</f>
        <v/>
      </c>
      <c r="I19" s="41" t="str">
        <f>IF(SUMIFS($S$10:$S$609,$P$10:$P$609,"C01E03")=0,"—",SUMIFS($T$10:$T$609,$P$10:$P$609,"C01E03")&amp;"/"&amp;SUMIFS($S$10:$S$609,$P$10:$P$609,"C01E03"))</f>
        <v>0/1</v>
      </c>
      <c r="J19" s="87" t="str">
        <f>IF(SUMIFS($S$10:$S$609,$P$10:$P$609,"C01E03")=0,"",IF(SUMIFS($T$10:$T$609,$P$10:$P$609,"C01E03")=0,"0%",SUMIFS($T$10:$T$609,$P$10:$P$609,"C01E03")/SUMIFS($S$10:$S$609,$P$10:$P$609,"C01E03")))</f>
        <v>0%</v>
      </c>
      <c r="N19" s="32" t="s">
        <v>103</v>
      </c>
      <c r="O19" s="32">
        <v>1</v>
      </c>
      <c r="P19" s="32" t="s">
        <v>104</v>
      </c>
      <c r="Q19" s="32" t="s">
        <v>105</v>
      </c>
      <c r="R19" s="32">
        <v>1</v>
      </c>
      <c r="S19" s="32">
        <f t="shared" si="0"/>
        <v>1</v>
      </c>
      <c r="T19" s="32">
        <f>--('Ch.1 - Lire une formule'!I134="✓ Correct")</f>
        <v>0</v>
      </c>
      <c r="U19" s="32">
        <v>1</v>
      </c>
      <c r="V19" s="32">
        <v>0</v>
      </c>
      <c r="W19" s="32">
        <v>0</v>
      </c>
      <c r="X19" s="32">
        <v>0</v>
      </c>
      <c r="Y19" s="32">
        <v>0</v>
      </c>
      <c r="Z19" s="32" t="s">
        <v>106</v>
      </c>
      <c r="AA19" s="32" t="s">
        <v>62</v>
      </c>
    </row>
    <row r="20" spans="2:27" ht="33.950000000000003" customHeight="1">
      <c r="B20" s="35" t="s">
        <v>107</v>
      </c>
      <c r="C20" s="34" t="s">
        <v>108</v>
      </c>
      <c r="D20" s="36" t="str">
        <f>IF(COUNTIFS($P$10:$P$609,"C01E04",$R$10:$R$609,1,$U$10:$U$609,1)&gt;0,"●","")</f>
        <v>●</v>
      </c>
      <c r="E20" s="37" t="str">
        <f>IF(COUNTIFS($P$10:$P$609,"C01E04",$R$10:$R$609,1,$V$10:$V$609,1)&gt;0,"●","")</f>
        <v/>
      </c>
      <c r="F20" s="38" t="str">
        <f>IF(COUNTIFS($P$10:$P$609,"C01E04",$R$10:$R$609,1,$W$10:$W$609,1)&gt;0,"●","")</f>
        <v/>
      </c>
      <c r="G20" s="39" t="str">
        <f>IF(COUNTIFS($P$10:$P$609,"C01E04",$R$10:$R$609,1,$X$10:$X$609,1)&gt;0,"●","")</f>
        <v/>
      </c>
      <c r="H20" s="40" t="str">
        <f>IF(COUNTIFS($P$10:$P$609,"C01E04",$R$10:$R$609,1,$Y$10:$Y$609,1)&gt;0,"●","")</f>
        <v/>
      </c>
      <c r="I20" s="41" t="str">
        <f>IF(SUMIFS($S$10:$S$609,$P$10:$P$609,"C01E04")=0,"—",SUMIFS($T$10:$T$609,$P$10:$P$609,"C01E04")&amp;"/"&amp;SUMIFS($S$10:$S$609,$P$10:$P$609,"C01E04"))</f>
        <v>0/3</v>
      </c>
      <c r="J20" s="87" t="str">
        <f>IF(SUMIFS($S$10:$S$609,$P$10:$P$609,"C01E04")=0,"",IF(SUMIFS($T$10:$T$609,$P$10:$P$609,"C01E04")=0,"0%",SUMIFS($T$10:$T$609,$P$10:$P$609,"C01E04")/SUMIFS($S$10:$S$609,$P$10:$P$609,"C01E04")))</f>
        <v>0%</v>
      </c>
      <c r="N20" s="32" t="s">
        <v>109</v>
      </c>
      <c r="O20" s="32">
        <v>1</v>
      </c>
      <c r="P20" s="32" t="s">
        <v>104</v>
      </c>
      <c r="Q20" s="32" t="s">
        <v>110</v>
      </c>
      <c r="R20" s="32">
        <v>1</v>
      </c>
      <c r="S20" s="32">
        <f t="shared" si="0"/>
        <v>1</v>
      </c>
      <c r="T20" s="32">
        <f>--('Ch.1 - Lire une formule'!I147="✓ Correct")</f>
        <v>0</v>
      </c>
      <c r="U20" s="32">
        <v>1</v>
      </c>
      <c r="V20" s="32">
        <v>0</v>
      </c>
      <c r="W20" s="32">
        <v>0</v>
      </c>
      <c r="X20" s="32">
        <v>0</v>
      </c>
      <c r="Y20" s="32">
        <v>0</v>
      </c>
      <c r="Z20" s="32" t="s">
        <v>111</v>
      </c>
      <c r="AA20" s="32" t="s">
        <v>62</v>
      </c>
    </row>
    <row r="21" spans="2:27" ht="33.950000000000003" customHeight="1">
      <c r="B21" s="35" t="s">
        <v>112</v>
      </c>
      <c r="C21" s="34" t="s">
        <v>113</v>
      </c>
      <c r="D21" s="36" t="str">
        <f>IF(COUNTIFS($P$10:$P$609,"C01E05",$R$10:$R$609,1,$U$10:$U$609,1)&gt;0,"●","")</f>
        <v>●</v>
      </c>
      <c r="E21" s="37" t="str">
        <f>IF(COUNTIFS($P$10:$P$609,"C01E05",$R$10:$R$609,1,$V$10:$V$609,1)&gt;0,"●","")</f>
        <v/>
      </c>
      <c r="F21" s="38" t="str">
        <f>IF(COUNTIFS($P$10:$P$609,"C01E05",$R$10:$R$609,1,$W$10:$W$609,1)&gt;0,"●","")</f>
        <v/>
      </c>
      <c r="G21" s="39" t="str">
        <f>IF(COUNTIFS($P$10:$P$609,"C01E05",$R$10:$R$609,1,$X$10:$X$609,1)&gt;0,"●","")</f>
        <v/>
      </c>
      <c r="H21" s="40" t="str">
        <f>IF(COUNTIFS($P$10:$P$609,"C01E05",$R$10:$R$609,1,$Y$10:$Y$609,1)&gt;0,"●","")</f>
        <v/>
      </c>
      <c r="I21" s="68" t="str">
        <f>IF(SUMIFS($S$10:$S$609,$P$10:$P$609,"C01E05")=0,"—",SUMIFS($T$10:$T$609,$P$10:$P$609,"C01E05")&amp;"/"&amp;SUMIFS($S$10:$S$609,$P$10:$P$609,"C01E05"))</f>
        <v>0/2</v>
      </c>
      <c r="J21" s="87" t="str">
        <f>IF(SUMIFS($S$10:$S$609,$P$10:$P$609,"C01E05")=0,"",IF(SUMIFS($T$10:$T$609,$P$10:$P$609,"C01E05")=0,"0%",SUMIFS($T$10:$T$609,$P$10:$P$609,"C01E05")/SUMIFS($S$10:$S$609,$P$10:$P$609,"C01E05")))</f>
        <v>0%</v>
      </c>
      <c r="N21" s="32" t="s">
        <v>114</v>
      </c>
      <c r="O21" s="32">
        <v>1</v>
      </c>
      <c r="P21" s="32" t="s">
        <v>104</v>
      </c>
      <c r="Q21" s="32" t="s">
        <v>115</v>
      </c>
      <c r="R21" s="32">
        <v>1</v>
      </c>
      <c r="S21" s="32">
        <f t="shared" si="0"/>
        <v>1</v>
      </c>
      <c r="T21" s="32">
        <f>--('Ch.1 - Lire une formule'!I159="✓ Correct")</f>
        <v>0</v>
      </c>
      <c r="U21" s="32">
        <v>1</v>
      </c>
      <c r="V21" s="32">
        <v>0</v>
      </c>
      <c r="W21" s="32">
        <v>0</v>
      </c>
      <c r="X21" s="32">
        <v>0</v>
      </c>
      <c r="Y21" s="32">
        <v>0</v>
      </c>
      <c r="Z21" s="32" t="s">
        <v>116</v>
      </c>
      <c r="AA21" s="32" t="s">
        <v>62</v>
      </c>
    </row>
    <row r="22" spans="2:27" ht="33.950000000000003" customHeight="1">
      <c r="B22" s="70" t="s">
        <v>117</v>
      </c>
      <c r="C22" s="71" t="s">
        <v>118</v>
      </c>
      <c r="D22" s="72" t="str">
        <f>IF(COUNTIFS($P$10:$P$609,"C01E06",$R$10:$R$609,1,$U$10:$U$609,1)&gt;0,"●","")</f>
        <v>●</v>
      </c>
      <c r="E22" s="73" t="str">
        <f>IF(COUNTIFS($P$10:$P$609,"C01E06",$R$10:$R$609,1,$V$10:$V$609,1)&gt;0,"●","")</f>
        <v/>
      </c>
      <c r="F22" s="74" t="str">
        <f>IF(COUNTIFS($P$10:$P$609,"C01E06",$R$10:$R$609,1,$W$10:$W$609,1)&gt;0,"●","")</f>
        <v/>
      </c>
      <c r="G22" s="75" t="str">
        <f>IF(COUNTIFS($P$10:$P$609,"C01E06",$R$10:$R$609,1,$X$10:$X$609,1)&gt;0,"●","")</f>
        <v/>
      </c>
      <c r="H22" s="76" t="str">
        <f>IF(COUNTIFS($P$10:$P$609,"C01E06",$R$10:$R$609,1,$Y$10:$Y$609,1)&gt;0,"●","")</f>
        <v/>
      </c>
      <c r="I22" s="81" t="str">
        <f>IF(SUMIFS($S$10:$S$609,$P$10:$P$609,"C01E06")=0,"—",SUMIFS($T$10:$T$609,$P$10:$P$609,"C01E06")&amp;"/"&amp;SUMIFS($S$10:$S$609,$P$10:$P$609,"C01E06"))</f>
        <v>0/3</v>
      </c>
      <c r="J22" s="87" t="str">
        <f>IF(SUMIFS($S$10:$S$609,$P$10:$P$609,"C01E06")=0,"",IF(SUMIFS($T$10:$T$609,$P$10:$P$609,"C01E06")=0,"0%",SUMIFS($T$10:$T$609,$P$10:$P$609,"C01E06")/SUMIFS($S$10:$S$609,$P$10:$P$609,"C01E06")))</f>
        <v>0%</v>
      </c>
      <c r="N22" s="32" t="s">
        <v>119</v>
      </c>
      <c r="O22" s="32">
        <v>1</v>
      </c>
      <c r="P22" s="32" t="s">
        <v>120</v>
      </c>
      <c r="Q22" s="32" t="s">
        <v>121</v>
      </c>
      <c r="R22" s="32">
        <v>1</v>
      </c>
      <c r="S22" s="32">
        <f t="shared" si="0"/>
        <v>1</v>
      </c>
      <c r="T22" s="32">
        <f>--('Ch.1 - Lire une formule'!I174="✓ Correct")</f>
        <v>0</v>
      </c>
      <c r="U22" s="32">
        <v>1</v>
      </c>
      <c r="V22" s="32">
        <v>0</v>
      </c>
      <c r="W22" s="32">
        <v>0</v>
      </c>
      <c r="X22" s="32">
        <v>0</v>
      </c>
      <c r="Y22" s="32">
        <v>0</v>
      </c>
      <c r="Z22" s="32" t="s">
        <v>122</v>
      </c>
      <c r="AA22" s="32" t="s">
        <v>62</v>
      </c>
    </row>
    <row r="23" spans="2:27" ht="33.950000000000003" customHeight="1">
      <c r="B23" s="35" t="s">
        <v>123</v>
      </c>
      <c r="C23" s="34" t="s">
        <v>124</v>
      </c>
      <c r="D23" s="36" t="str">
        <f>IF(COUNTIFS($P$10:$P$609,"C01E07",$R$10:$R$609,1,$U$10:$U$609,1)&gt;0,"●","")</f>
        <v>●</v>
      </c>
      <c r="E23" s="37" t="str">
        <f>IF(COUNTIFS($P$10:$P$609,"C01E07",$R$10:$R$609,1,$V$10:$V$609,1)&gt;0,"●","")</f>
        <v/>
      </c>
      <c r="F23" s="38" t="str">
        <f>IF(COUNTIFS($P$10:$P$609,"C01E07",$R$10:$R$609,1,$W$10:$W$609,1)&gt;0,"●","")</f>
        <v/>
      </c>
      <c r="G23" s="39" t="str">
        <f>IF(COUNTIFS($P$10:$P$609,"C01E07",$R$10:$R$609,1,$X$10:$X$609,1)&gt;0,"●","")</f>
        <v/>
      </c>
      <c r="H23" s="40" t="str">
        <f>IF(COUNTIFS($P$10:$P$609,"C01E07",$R$10:$R$609,1,$Y$10:$Y$609,1)&gt;0,"●","")</f>
        <v/>
      </c>
      <c r="I23" s="80" t="str">
        <f>IF(SUMIFS($S$10:$S$609,$P$10:$P$609,"C01E07")=0,"—",SUMIFS($T$10:$T$609,$P$10:$P$609,"C01E07")&amp;"/"&amp;SUMIFS($S$10:$S$609,$P$10:$P$609,"C01E07"))</f>
        <v>0/1</v>
      </c>
      <c r="J23" s="87" t="str">
        <f>IF(SUMIFS($S$10:$S$609,$P$10:$P$609,"C01E07")=0,"",IF(SUMIFS($T$10:$T$609,$P$10:$P$609,"C01E07")=0,"0%",SUMIFS($T$10:$T$609,$P$10:$P$609,"C01E07")/SUMIFS($S$10:$S$609,$P$10:$P$609,"C01E07")))</f>
        <v>0%</v>
      </c>
      <c r="N23" s="32" t="s">
        <v>125</v>
      </c>
      <c r="O23" s="32">
        <v>2</v>
      </c>
      <c r="P23" s="32" t="s">
        <v>126</v>
      </c>
      <c r="Q23" s="32" t="s">
        <v>127</v>
      </c>
      <c r="R23" s="32">
        <v>1</v>
      </c>
      <c r="S23" s="32">
        <f t="shared" si="0"/>
        <v>1</v>
      </c>
      <c r="T23" s="32">
        <f>--('Ch.2 - Choisir la fonction'!I27="✓ Correct")</f>
        <v>0</v>
      </c>
      <c r="U23" s="32">
        <v>1</v>
      </c>
      <c r="V23" s="32">
        <v>0</v>
      </c>
      <c r="W23" s="32">
        <v>0</v>
      </c>
      <c r="X23" s="32">
        <v>0</v>
      </c>
      <c r="Y23" s="32">
        <v>0</v>
      </c>
      <c r="Z23" s="32" t="s">
        <v>128</v>
      </c>
      <c r="AA23" s="32" t="s">
        <v>129</v>
      </c>
    </row>
    <row r="24" spans="2:27" ht="14.25" customHeight="1">
      <c r="B24" s="26"/>
      <c r="C24" s="25"/>
      <c r="D24" s="25"/>
      <c r="E24" s="27"/>
      <c r="F24" s="25"/>
      <c r="G24" s="25"/>
      <c r="H24" s="25"/>
      <c r="I24" s="69"/>
      <c r="J24" s="129"/>
      <c r="N24" s="32" t="s">
        <v>130</v>
      </c>
      <c r="O24" s="32">
        <v>2</v>
      </c>
      <c r="P24" s="32" t="s">
        <v>126</v>
      </c>
      <c r="Q24" s="32" t="s">
        <v>131</v>
      </c>
      <c r="R24" s="32">
        <v>1</v>
      </c>
      <c r="S24" s="32">
        <f t="shared" si="0"/>
        <v>1</v>
      </c>
      <c r="T24" s="32">
        <f>--('Ch.2 - Choisir la fonction'!I37="✓ Correct")</f>
        <v>0</v>
      </c>
      <c r="U24" s="32">
        <v>1</v>
      </c>
      <c r="V24" s="32">
        <v>0</v>
      </c>
      <c r="W24" s="32">
        <v>0</v>
      </c>
      <c r="X24" s="32">
        <v>0</v>
      </c>
      <c r="Y24" s="32">
        <v>0</v>
      </c>
      <c r="Z24" s="32" t="s">
        <v>132</v>
      </c>
      <c r="AA24" s="32" t="s">
        <v>129</v>
      </c>
    </row>
    <row r="25" spans="2:27" ht="21.95" customHeight="1">
      <c r="B25" s="33" t="s">
        <v>133</v>
      </c>
      <c r="C25" s="33"/>
      <c r="D25" s="33"/>
      <c r="E25" s="33"/>
      <c r="F25" s="33"/>
      <c r="G25" s="77"/>
      <c r="H25" s="33"/>
      <c r="I25" s="83" t="str">
        <f>IF(SUMIFS($S$10:$S$609,$O$10:$O$609,2)=0,"—",SUMIFS($T$10:$T$609,$O$10:$O$609,2)&amp;"/"&amp;SUMIFS($S$10:$S$609,$O$10:$O$609,2))</f>
        <v>0/12</v>
      </c>
      <c r="J25" s="79" t="str">
        <f>IF(SUMIFS($S$10:$S$609,$O$10:$O$609,2)=0,"",IF(SUMIFS($T$10:$T$609,$O$10:$O$609,2)=0,"0%",SUMIFS($T$10:$T$609,$O$10:$O$609,2)/SUMIFS($S$10:$S$609,$O$10:$O$609,2)))</f>
        <v>0%</v>
      </c>
      <c r="N25" s="32" t="s">
        <v>134</v>
      </c>
      <c r="O25" s="32">
        <v>2</v>
      </c>
      <c r="P25" s="32" t="s">
        <v>135</v>
      </c>
      <c r="Q25" s="32" t="s">
        <v>136</v>
      </c>
      <c r="R25" s="32">
        <v>1</v>
      </c>
      <c r="S25" s="32">
        <f t="shared" si="0"/>
        <v>1</v>
      </c>
      <c r="T25" s="32">
        <f>--('Ch.2 - Choisir la fonction'!I49="✓ Correct")</f>
        <v>0</v>
      </c>
      <c r="U25" s="32">
        <v>1</v>
      </c>
      <c r="V25" s="32">
        <v>0</v>
      </c>
      <c r="W25" s="32">
        <v>0</v>
      </c>
      <c r="X25" s="32">
        <v>0</v>
      </c>
      <c r="Y25" s="32">
        <v>0</v>
      </c>
      <c r="Z25" s="32" t="s">
        <v>137</v>
      </c>
      <c r="AA25" s="32" t="s">
        <v>129</v>
      </c>
    </row>
    <row r="26" spans="2:27" ht="33.950000000000003" customHeight="1">
      <c r="B26" s="35" t="s">
        <v>138</v>
      </c>
      <c r="C26" s="34" t="s">
        <v>139</v>
      </c>
      <c r="D26" s="135" t="s">
        <v>42</v>
      </c>
      <c r="E26" s="37" t="str">
        <f>IF(COUNTIFS($P$10:$P$609,"C02E01",$R$10:$R$609,1,$V$10:$V$609,1)&gt;0,"●","")</f>
        <v/>
      </c>
      <c r="F26" s="38" t="str">
        <f>IF(COUNTIFS($P$10:$P$609,"C02E01",$R$10:$R$609,1,$W$10:$W$609,1)&gt;0,"●","")</f>
        <v/>
      </c>
      <c r="G26" s="39" t="str">
        <f>IF(COUNTIFS($P$10:$P$609,"C02E01",$R$10:$R$609,1,$X$10:$X$609,1)&gt;0,"●","")</f>
        <v/>
      </c>
      <c r="H26" s="40" t="str">
        <f>IF(COUNTIFS($P$10:$P$609,"C02E01",$R$10:$R$609,1,$Y$10:$Y$609,1)&gt;0,"●","")</f>
        <v/>
      </c>
      <c r="I26" s="90" t="str">
        <f>IF(SUMIFS($S$10:$S$609,$P$10:$P$609,"C02E01")=0,"—",SUMIFS($T$10:$T$609,$P$10:$P$609,"C02E01")&amp;"/"&amp;SUMIFS($S$10:$S$609,$P$10:$P$609,"C02E01"))</f>
        <v>0/2</v>
      </c>
      <c r="J26" s="91" t="str">
        <f>IF(SUMIFS($S$10:$S$609,$P$10:$P$609,"C02E01")=0,"",IF(SUMIFS($T$10:$T$609,$P$10:$P$609,"C02E01")=0,"0%",SUMIFS($T$10:$T$609,$P$10:$P$609,"C02E01")/SUMIFS($S$10:$S$609,$P$10:$P$609,"C02E01")))</f>
        <v>0%</v>
      </c>
      <c r="N26" s="32" t="s">
        <v>140</v>
      </c>
      <c r="O26" s="32">
        <v>2</v>
      </c>
      <c r="P26" s="32" t="s">
        <v>135</v>
      </c>
      <c r="Q26" s="32" t="s">
        <v>141</v>
      </c>
      <c r="R26" s="32">
        <v>1</v>
      </c>
      <c r="S26" s="32">
        <f t="shared" si="0"/>
        <v>1</v>
      </c>
      <c r="T26" s="32">
        <f>--('Ch.2 - Choisir la fonction'!I59="✓ Correct")</f>
        <v>0</v>
      </c>
      <c r="U26" s="32">
        <v>1</v>
      </c>
      <c r="V26" s="32">
        <v>0</v>
      </c>
      <c r="W26" s="32">
        <v>0</v>
      </c>
      <c r="X26" s="32">
        <v>0</v>
      </c>
      <c r="Y26" s="32">
        <v>0</v>
      </c>
      <c r="Z26" s="32" t="s">
        <v>142</v>
      </c>
      <c r="AA26" s="32" t="s">
        <v>129</v>
      </c>
    </row>
    <row r="27" spans="2:27" ht="33.950000000000003" customHeight="1">
      <c r="B27" s="35" t="s">
        <v>143</v>
      </c>
      <c r="C27" s="34" t="s">
        <v>144</v>
      </c>
      <c r="D27" s="135" t="s">
        <v>42</v>
      </c>
      <c r="E27" s="37" t="str">
        <f>IF(COUNTIFS($P$10:$P$609,"C02E02",$R$10:$R$609,1,$V$10:$V$609,1)&gt;0,"●","")</f>
        <v/>
      </c>
      <c r="F27" s="38" t="str">
        <f>IF(COUNTIFS($P$10:$P$609,"C02E02",$R$10:$R$609,1,$W$10:$W$609,1)&gt;0,"●","")</f>
        <v/>
      </c>
      <c r="G27" s="39" t="str">
        <f>IF(COUNTIFS($P$10:$P$609,"C02E02",$R$10:$R$609,1,$X$10:$X$609,1)&gt;0,"●","")</f>
        <v/>
      </c>
      <c r="H27" s="40" t="str">
        <f>IF(COUNTIFS($P$10:$P$609,"C02E02",$R$10:$R$609,1,$Y$10:$Y$609,1)&gt;0,"●","")</f>
        <v/>
      </c>
      <c r="I27" s="41" t="str">
        <f>IF(SUMIFS($S$10:$S$609,$P$10:$P$609,"C02E02")=0,"—",SUMIFS($T$10:$T$609,$P$10:$P$609,"C02E02")&amp;"/"&amp;SUMIFS($S$10:$S$609,$P$10:$P$609,"C02E02"))</f>
        <v>0/2</v>
      </c>
      <c r="J27" s="87" t="str">
        <f>IF(SUMIFS($S$10:$S$609,$P$10:$P$609,"C02E02")=0,"",IF(SUMIFS($T$10:$T$609,$P$10:$P$609,"C02E02")=0,"0%",SUMIFS($T$10:$T$609,$P$10:$P$609,"C02E02")/SUMIFS($S$10:$S$609,$P$10:$P$609,"C02E02")))</f>
        <v>0%</v>
      </c>
      <c r="N27" s="32" t="s">
        <v>145</v>
      </c>
      <c r="O27" s="32">
        <v>2</v>
      </c>
      <c r="P27" s="32" t="s">
        <v>146</v>
      </c>
      <c r="Q27" s="32" t="s">
        <v>147</v>
      </c>
      <c r="R27" s="32">
        <v>1</v>
      </c>
      <c r="S27" s="32">
        <f t="shared" si="0"/>
        <v>1</v>
      </c>
      <c r="T27" s="32">
        <f>--('Ch.2 - Choisir la fonction'!I71="✓ Correct")</f>
        <v>0</v>
      </c>
      <c r="U27" s="32">
        <v>1</v>
      </c>
      <c r="V27" s="32">
        <v>0</v>
      </c>
      <c r="W27" s="32">
        <v>0</v>
      </c>
      <c r="X27" s="32">
        <v>0</v>
      </c>
      <c r="Y27" s="32">
        <v>0</v>
      </c>
      <c r="Z27" s="32" t="s">
        <v>148</v>
      </c>
      <c r="AA27" s="32" t="s">
        <v>129</v>
      </c>
    </row>
    <row r="28" spans="2:27" ht="33.950000000000003" customHeight="1">
      <c r="B28" s="98" t="s">
        <v>149</v>
      </c>
      <c r="C28" s="99" t="s">
        <v>150</v>
      </c>
      <c r="D28" s="136" t="s">
        <v>42</v>
      </c>
      <c r="E28" s="100" t="str">
        <f>IF(COUNTIFS($P$10:$P$609,"C02E03",$R$10:$R$609,1,$V$10:$V$609,1)&gt;0,"●","")</f>
        <v/>
      </c>
      <c r="F28" s="101" t="str">
        <f>IF(COUNTIFS($P$10:$P$609,"C02E03",$R$10:$R$609,1,$W$10:$W$609,1)&gt;0,"●","")</f>
        <v/>
      </c>
      <c r="G28" s="102" t="str">
        <f>IF(COUNTIFS($P$10:$P$609,"C02E03",$R$10:$R$609,1,$X$10:$X$609,1)&gt;0,"●","")</f>
        <v/>
      </c>
      <c r="H28" s="103" t="str">
        <f>IF(COUNTIFS($P$10:$P$609,"C02E03",$R$10:$R$609,1,$Y$10:$Y$609,1)&gt;0,"●","")</f>
        <v/>
      </c>
      <c r="I28" s="84" t="str">
        <f>IF(SUMIFS($S$10:$S$609,$P$10:$P$609,"C02E03")=0,"—",SUMIFS($T$10:$T$609,$P$10:$P$609,"C02E03")&amp;"/"&amp;SUMIFS($S$10:$S$609,$P$10:$P$609,"C02E03"))</f>
        <v>0/2</v>
      </c>
      <c r="J28" s="87" t="str">
        <f>IF(SUMIFS($S$10:$S$609,$P$10:$P$609,"C02E03")=0,"",IF(SUMIFS($T$10:$T$609,$P$10:$P$609,"C02E03")=0,"0%",SUMIFS($T$10:$T$609,$P$10:$P$609,"C02E03")/SUMIFS($S$10:$S$609,$P$10:$P$609,"C02E03")))</f>
        <v>0%</v>
      </c>
      <c r="N28" s="32" t="s">
        <v>151</v>
      </c>
      <c r="O28" s="32">
        <v>2</v>
      </c>
      <c r="P28" s="32" t="s">
        <v>146</v>
      </c>
      <c r="Q28" s="32" t="s">
        <v>152</v>
      </c>
      <c r="R28" s="32">
        <v>1</v>
      </c>
      <c r="S28" s="32">
        <f t="shared" si="0"/>
        <v>1</v>
      </c>
      <c r="T28" s="32">
        <f>--('Ch.2 - Choisir la fonction'!I81="✓ Correct")</f>
        <v>0</v>
      </c>
      <c r="U28" s="32">
        <v>1</v>
      </c>
      <c r="V28" s="32">
        <v>0</v>
      </c>
      <c r="W28" s="32">
        <v>0</v>
      </c>
      <c r="X28" s="32">
        <v>0</v>
      </c>
      <c r="Y28" s="32">
        <v>0</v>
      </c>
      <c r="Z28" s="32" t="s">
        <v>153</v>
      </c>
      <c r="AA28" s="32" t="s">
        <v>129</v>
      </c>
    </row>
    <row r="29" spans="2:27" ht="33.950000000000003" customHeight="1">
      <c r="B29" s="104" t="s">
        <v>154</v>
      </c>
      <c r="C29" s="105" t="s">
        <v>155</v>
      </c>
      <c r="D29" s="137" t="s">
        <v>42</v>
      </c>
      <c r="E29" s="106" t="str">
        <f>IF(COUNTIFS($P$10:$P$609,"C02E04",$R$10:$R$609,1,$V$10:$V$609,1)&gt;0,"●","")</f>
        <v/>
      </c>
      <c r="F29" s="107" t="str">
        <f>IF(COUNTIFS($P$10:$P$609,"C02E04",$R$10:$R$609,1,$W$10:$W$609,1)&gt;0,"●","")</f>
        <v/>
      </c>
      <c r="G29" s="108" t="str">
        <f>IF(COUNTIFS($P$10:$P$609,"C02E04",$R$10:$R$609,1,$X$10:$X$609,1)&gt;0,"●","")</f>
        <v/>
      </c>
      <c r="H29" s="109" t="str">
        <f>IF(COUNTIFS($P$10:$P$609,"C02E04",$R$10:$R$609,1,$Y$10:$Y$609,1)&gt;0,"●","")</f>
        <v/>
      </c>
      <c r="I29" s="78" t="str">
        <f>IF(SUMIFS($S$10:$S$609,$P$10:$P$609,"C02E04")=0,"—",SUMIFS($T$10:$T$609,$P$10:$P$609,"C02E04")&amp;"/"&amp;SUMIFS($S$10:$S$609,$P$10:$P$609,"C02E04"))</f>
        <v>0/2</v>
      </c>
      <c r="J29" s="88" t="str">
        <f>IF(SUMIFS($S$10:$S$609,$P$10:$P$609,"C02E04")=0,"",IF(SUMIFS($T$10:$T$609,$P$10:$P$609,"C02E04")=0,"0%",SUMIFS($T$10:$T$609,$P$10:$P$609,"C02E04")/SUMIFS($S$10:$S$609,$P$10:$P$609,"C02E04")))</f>
        <v>0%</v>
      </c>
      <c r="N29" s="32" t="s">
        <v>156</v>
      </c>
      <c r="O29" s="32">
        <v>2</v>
      </c>
      <c r="P29" s="32" t="s">
        <v>157</v>
      </c>
      <c r="Q29" s="32" t="s">
        <v>158</v>
      </c>
      <c r="R29" s="32">
        <v>1</v>
      </c>
      <c r="S29" s="32">
        <f t="shared" si="0"/>
        <v>1</v>
      </c>
      <c r="T29" s="32">
        <f>--('Ch.2 - Choisir la fonction'!I93="✓ Correct")</f>
        <v>0</v>
      </c>
      <c r="U29" s="32">
        <v>1</v>
      </c>
      <c r="V29" s="32">
        <v>0</v>
      </c>
      <c r="W29" s="32">
        <v>0</v>
      </c>
      <c r="X29" s="32">
        <v>0</v>
      </c>
      <c r="Y29" s="32">
        <v>0</v>
      </c>
      <c r="Z29" s="32" t="s">
        <v>159</v>
      </c>
      <c r="AA29" s="32" t="s">
        <v>129</v>
      </c>
    </row>
    <row r="30" spans="2:27" ht="33.950000000000003" customHeight="1">
      <c r="B30" s="110" t="s">
        <v>160</v>
      </c>
      <c r="C30" s="111" t="s">
        <v>161</v>
      </c>
      <c r="D30" s="138" t="s">
        <v>42</v>
      </c>
      <c r="E30" s="112" t="str">
        <f>IF(COUNTIFS($P$10:$P$609,"C02E05",$R$10:$R$609,1,$V$10:$V$609,1)&gt;0,"●","")</f>
        <v/>
      </c>
      <c r="F30" s="113" t="str">
        <f>IF(COUNTIFS($P$10:$P$609,"C02E05",$R$10:$R$609,1,$W$10:$W$609,1)&gt;0,"●","")</f>
        <v/>
      </c>
      <c r="G30" s="114" t="str">
        <f>IF(COUNTIFS($P$10:$P$609,"C02E05",$R$10:$R$609,1,$X$10:$X$609,1)&gt;0,"●","")</f>
        <v/>
      </c>
      <c r="H30" s="115" t="str">
        <f>IF(COUNTIFS($P$10:$P$609,"C02E05",$R$10:$R$609,1,$Y$10:$Y$609,1)&gt;0,"●","")</f>
        <v/>
      </c>
      <c r="I30" s="68" t="str">
        <f>IF(SUMIFS($S$10:$S$609,$P$10:$P$609,"C02E05")=0,"—",SUMIFS($T$10:$T$609,$P$10:$P$609,"C02E05")&amp;"/"&amp;SUMIFS($S$10:$S$609,$P$10:$P$609,"C02E05"))</f>
        <v>0/2</v>
      </c>
      <c r="J30" s="88" t="str">
        <f>IF(SUMIFS($S$10:$S$609,$P$10:$P$609,"C02E05")=0,"",IF(SUMIFS($T$10:$T$609,$P$10:$P$609,"C02E05")=0,"0%",SUMIFS($T$10:$T$609,$P$10:$P$609,"C02E05")/SUMIFS($S$10:$S$609,$P$10:$P$609,"C02E05")))</f>
        <v>0%</v>
      </c>
      <c r="N30" s="32" t="s">
        <v>162</v>
      </c>
      <c r="O30" s="32">
        <v>2</v>
      </c>
      <c r="P30" s="32" t="s">
        <v>157</v>
      </c>
      <c r="Q30" s="32" t="s">
        <v>163</v>
      </c>
      <c r="R30" s="32">
        <v>1</v>
      </c>
      <c r="S30" s="32">
        <f t="shared" si="0"/>
        <v>1</v>
      </c>
      <c r="T30" s="32">
        <f>--('Ch.2 - Choisir la fonction'!I105="✓ Correct")</f>
        <v>0</v>
      </c>
      <c r="U30" s="32">
        <v>1</v>
      </c>
      <c r="V30" s="32">
        <v>0</v>
      </c>
      <c r="W30" s="32">
        <v>0</v>
      </c>
      <c r="X30" s="32">
        <v>0</v>
      </c>
      <c r="Y30" s="32">
        <v>0</v>
      </c>
      <c r="Z30" s="32" t="s">
        <v>164</v>
      </c>
      <c r="AA30" s="32" t="s">
        <v>129</v>
      </c>
    </row>
    <row r="31" spans="2:27" ht="33.950000000000003" customHeight="1">
      <c r="B31" s="70" t="s">
        <v>165</v>
      </c>
      <c r="C31" s="71" t="s">
        <v>166</v>
      </c>
      <c r="D31" s="139" t="s">
        <v>42</v>
      </c>
      <c r="E31" s="73" t="str">
        <f>IF(COUNTIFS($P$10:$P$609,"C02E06",$R$10:$R$609,1,$V$10:$V$609,1)&gt;0,"●","")</f>
        <v/>
      </c>
      <c r="F31" s="74" t="str">
        <f>IF(COUNTIFS($P$10:$P$609,"C02E06",$R$10:$R$609,1,$W$10:$W$609,1)&gt;0,"●","")</f>
        <v/>
      </c>
      <c r="G31" s="75" t="str">
        <f>IF(COUNTIFS($P$10:$P$609,"C02E06",$R$10:$R$609,1,$X$10:$X$609,1)&gt;0,"●","")</f>
        <v/>
      </c>
      <c r="H31" s="76" t="str">
        <f>IF(COUNTIFS($P$10:$P$609,"C02E06",$R$10:$R$609,1,$Y$10:$Y$609,1)&gt;0,"●","")</f>
        <v/>
      </c>
      <c r="I31" s="80" t="str">
        <f>IF(SUMIFS($S$10:$S$609,$P$10:$P$609,"C02E06")=0,"—",SUMIFS($T$10:$T$609,$P$10:$P$609,"C02E06")&amp;"/"&amp;SUMIFS($S$10:$S$609,$P$10:$P$609,"C02E06"))</f>
        <v>0/2</v>
      </c>
      <c r="J31" s="87" t="str">
        <f>IF(SUMIFS($S$10:$S$609,$P$10:$P$609,"C02E06")=0,"",IF(SUMIFS($T$10:$T$609,$P$10:$P$609,"C02E06")=0,"0%",SUMIFS($T$10:$T$609,$P$10:$P$609,"C02E06")/SUMIFS($S$10:$S$609,$P$10:$P$609,"C02E06")))</f>
        <v>0%</v>
      </c>
      <c r="N31" s="32" t="s">
        <v>167</v>
      </c>
      <c r="O31" s="32">
        <v>2</v>
      </c>
      <c r="P31" s="32" t="s">
        <v>168</v>
      </c>
      <c r="Q31" s="32" t="s">
        <v>169</v>
      </c>
      <c r="R31" s="32">
        <v>1</v>
      </c>
      <c r="S31" s="32">
        <f t="shared" si="0"/>
        <v>1</v>
      </c>
      <c r="T31" s="32">
        <f>--('Ch.2 - Choisir la fonction'!I117="✓ Correct")</f>
        <v>0</v>
      </c>
      <c r="U31" s="32">
        <v>1</v>
      </c>
      <c r="V31" s="32">
        <v>0</v>
      </c>
      <c r="W31" s="32">
        <v>0</v>
      </c>
      <c r="X31" s="32">
        <v>0</v>
      </c>
      <c r="Y31" s="32">
        <v>0</v>
      </c>
      <c r="Z31" s="32" t="s">
        <v>170</v>
      </c>
      <c r="AA31" s="32" t="s">
        <v>129</v>
      </c>
    </row>
    <row r="32" spans="2:27" ht="14.25" customHeight="1">
      <c r="B32" s="26"/>
      <c r="C32" s="25"/>
      <c r="D32" s="25"/>
      <c r="E32" s="25"/>
      <c r="F32" s="28"/>
      <c r="G32" s="25"/>
      <c r="H32" s="25"/>
      <c r="I32" s="69"/>
      <c r="J32" s="129"/>
      <c r="N32" s="32" t="s">
        <v>171</v>
      </c>
      <c r="O32" s="32">
        <v>2</v>
      </c>
      <c r="P32" s="32" t="s">
        <v>168</v>
      </c>
      <c r="Q32" s="32" t="s">
        <v>172</v>
      </c>
      <c r="R32" s="32">
        <v>1</v>
      </c>
      <c r="S32" s="32">
        <f t="shared" si="0"/>
        <v>1</v>
      </c>
      <c r="T32" s="32">
        <f>--('Ch.2 - Choisir la fonction'!I127="✓ Correct")</f>
        <v>0</v>
      </c>
      <c r="U32" s="32">
        <v>1</v>
      </c>
      <c r="V32" s="32">
        <v>0</v>
      </c>
      <c r="W32" s="32">
        <v>0</v>
      </c>
      <c r="X32" s="32">
        <v>0</v>
      </c>
      <c r="Y32" s="32">
        <v>0</v>
      </c>
      <c r="Z32" s="32" t="s">
        <v>173</v>
      </c>
      <c r="AA32" s="32" t="s">
        <v>129</v>
      </c>
    </row>
    <row r="33" spans="2:27" ht="21.95" customHeight="1">
      <c r="B33" s="33" t="s">
        <v>174</v>
      </c>
      <c r="C33" s="33"/>
      <c r="D33" s="33"/>
      <c r="E33" s="33"/>
      <c r="F33" s="33"/>
      <c r="G33" s="33"/>
      <c r="H33" s="33"/>
      <c r="I33" s="82" t="str">
        <f>IF(SUMIFS($S$10:$S$609,$O$10:$O$609,3)=0,"—",SUMIFS($T$10:$T$609,$O$10:$O$609,3)&amp;"/"&amp;SUMIFS($S$10:$S$609,$O$10:$O$609,3))</f>
        <v>0/29</v>
      </c>
      <c r="J33" s="95" t="str">
        <f>IF(SUMIFS($S$10:$S$609,$O$10:$O$609,3)=0,"",IF(SUMIFS($T$10:$T$609,$O$10:$O$609,3)=0,"0%",SUMIFS($T$10:$T$609,$O$10:$O$609,3)/SUMIFS($S$10:$S$609,$O$10:$O$609,3)))</f>
        <v>0%</v>
      </c>
      <c r="N33" s="32" t="s">
        <v>175</v>
      </c>
      <c r="O33" s="32">
        <v>2</v>
      </c>
      <c r="P33" s="32" t="s">
        <v>176</v>
      </c>
      <c r="Q33" s="32" t="s">
        <v>177</v>
      </c>
      <c r="R33" s="32">
        <v>1</v>
      </c>
      <c r="S33" s="32">
        <f t="shared" si="0"/>
        <v>1</v>
      </c>
      <c r="T33" s="32">
        <f>--('Ch.2 - Choisir la fonction'!I139="✓ Correct")</f>
        <v>0</v>
      </c>
      <c r="U33" s="32">
        <v>1</v>
      </c>
      <c r="V33" s="32">
        <v>0</v>
      </c>
      <c r="W33" s="32">
        <v>0</v>
      </c>
      <c r="X33" s="32">
        <v>0</v>
      </c>
      <c r="Y33" s="32">
        <v>0</v>
      </c>
      <c r="Z33" s="32" t="s">
        <v>178</v>
      </c>
      <c r="AA33" s="32" t="s">
        <v>129</v>
      </c>
    </row>
    <row r="34" spans="2:27" ht="33.950000000000003" customHeight="1">
      <c r="B34" s="35" t="s">
        <v>179</v>
      </c>
      <c r="C34" s="34" t="s">
        <v>180</v>
      </c>
      <c r="D34" s="36" t="s">
        <v>42</v>
      </c>
      <c r="E34" s="37"/>
      <c r="F34" s="38"/>
      <c r="G34" s="39"/>
      <c r="H34" s="40"/>
      <c r="I34" s="78" t="str">
        <f>IF(SUMIFS($S$10:$S$609,$P$10:$P$609,"C03E01")=0,"—",SUMIFS($T$10:$T$609,$P$10:$P$609,"C03E01")&amp;"/"&amp;SUMIFS($S$10:$S$609,$P$10:$P$609,"C03E01"))</f>
        <v>0/3</v>
      </c>
      <c r="J34" s="91" t="str">
        <f>IF(SUMIFS($S$10:$S$609,$P$10:$P$609,"C03E01")=0,"",IF(SUMIFS($T$10:$T$609,$P$10:$P$609,"C03E01")=0,"0%",SUMIFS($T$10:$T$609,$P$10:$P$609,"C03E01")/SUMIFS($S$10:$S$609,$P$10:$P$609,"C03E01")))</f>
        <v>0%</v>
      </c>
      <c r="N34" s="32" t="s">
        <v>181</v>
      </c>
      <c r="O34" s="32">
        <v>2</v>
      </c>
      <c r="P34" s="32" t="s">
        <v>176</v>
      </c>
      <c r="Q34" s="32" t="s">
        <v>182</v>
      </c>
      <c r="R34" s="32">
        <v>1</v>
      </c>
      <c r="S34" s="32">
        <f t="shared" si="0"/>
        <v>1</v>
      </c>
      <c r="T34" s="32">
        <f>--('Ch.2 - Choisir la fonction'!I152="✓ Correct")</f>
        <v>0</v>
      </c>
      <c r="U34" s="32">
        <v>1</v>
      </c>
      <c r="V34" s="32">
        <v>0</v>
      </c>
      <c r="W34" s="32">
        <v>0</v>
      </c>
      <c r="X34" s="32">
        <v>0</v>
      </c>
      <c r="Y34" s="32">
        <v>0</v>
      </c>
      <c r="Z34" s="32" t="s">
        <v>183</v>
      </c>
      <c r="AA34" s="32" t="s">
        <v>129</v>
      </c>
    </row>
    <row r="35" spans="2:27" ht="33.950000000000003" customHeight="1">
      <c r="B35" s="35" t="s">
        <v>184</v>
      </c>
      <c r="C35" s="34" t="s">
        <v>185</v>
      </c>
      <c r="D35" s="36" t="s">
        <v>42</v>
      </c>
      <c r="E35" s="37"/>
      <c r="F35" s="38"/>
      <c r="G35" s="39"/>
      <c r="H35" s="40"/>
      <c r="I35" s="84" t="str">
        <f>IF(SUMIFS($S$10:$S$609,$P$10:$P$609,"C03E02")=0,"—",SUMIFS($T$10:$T$609,$P$10:$P$609,"C03E02")&amp;"/"&amp;SUMIFS($S$10:$S$609,$P$10:$P$609,"C03E02"))</f>
        <v>0/3</v>
      </c>
      <c r="J35" s="87" t="str">
        <f>IF(SUMIFS($S$10:$S$609,$P$10:$P$609,"C03E02")=0,"",IF(SUMIFS($T$10:$T$609,$P$10:$P$609,"C03E02")=0,"0%",SUMIFS($T$10:$T$609,$P$10:$P$609,"C03E02")/SUMIFS($S$10:$S$609,$P$10:$P$609,"C03E02")))</f>
        <v>0%</v>
      </c>
      <c r="N35" s="32" t="s">
        <v>186</v>
      </c>
      <c r="O35" s="32">
        <v>3</v>
      </c>
      <c r="P35" s="32" t="s">
        <v>187</v>
      </c>
      <c r="Q35" s="32" t="s">
        <v>188</v>
      </c>
      <c r="R35" s="32">
        <v>1</v>
      </c>
      <c r="S35" s="32">
        <f t="shared" si="0"/>
        <v>1</v>
      </c>
      <c r="T35" s="32">
        <f>--('Ch.3 - Calculer et compter'!I31="✓ Correct")</f>
        <v>0</v>
      </c>
      <c r="U35" s="32">
        <v>1</v>
      </c>
      <c r="V35" s="32">
        <v>0</v>
      </c>
      <c r="W35" s="32">
        <v>0</v>
      </c>
      <c r="X35" s="32">
        <v>0</v>
      </c>
      <c r="Y35" s="32">
        <v>0</v>
      </c>
      <c r="Z35" s="32" t="s">
        <v>189</v>
      </c>
      <c r="AA35" s="32" t="s">
        <v>190</v>
      </c>
    </row>
    <row r="36" spans="2:27" ht="33.950000000000003" customHeight="1">
      <c r="B36" s="35" t="s">
        <v>191</v>
      </c>
      <c r="C36" s="34" t="s">
        <v>192</v>
      </c>
      <c r="D36" s="36" t="s">
        <v>42</v>
      </c>
      <c r="E36" s="37"/>
      <c r="F36" s="38"/>
      <c r="G36" s="39"/>
      <c r="H36" s="40"/>
      <c r="I36" s="80" t="str">
        <f>IF(SUMIFS($S$10:$S$609,$P$10:$P$609,"C03E03")=0,"—",SUMIFS($T$10:$T$609,$P$10:$P$609,"C03E03")&amp;"/"&amp;SUMIFS($S$10:$S$609,$P$10:$P$609,"C03E03"))</f>
        <v>0/1</v>
      </c>
      <c r="J36" s="87" t="str">
        <f>IF(SUMIFS($S$10:$S$609,$P$10:$P$609,"C03E03")=0,"",IF(SUMIFS($T$10:$T$609,$P$10:$P$609,"C03E03")=0,"0%",SUMIFS($T$10:$T$609,$P$10:$P$609,"C03E03")/SUMIFS($S$10:$S$609,$P$10:$P$609,"C03E03")))</f>
        <v>0%</v>
      </c>
      <c r="N36" s="32" t="s">
        <v>193</v>
      </c>
      <c r="O36" s="32">
        <v>3</v>
      </c>
      <c r="P36" s="32" t="s">
        <v>187</v>
      </c>
      <c r="Q36" s="32" t="s">
        <v>194</v>
      </c>
      <c r="R36" s="32">
        <v>1</v>
      </c>
      <c r="S36" s="32">
        <f t="shared" si="0"/>
        <v>1</v>
      </c>
      <c r="T36" s="32">
        <f>--('Ch.3 - Calculer et compter'!I43="✓ Correct")</f>
        <v>0</v>
      </c>
      <c r="U36" s="32">
        <v>1</v>
      </c>
      <c r="V36" s="32">
        <v>0</v>
      </c>
      <c r="W36" s="32">
        <v>0</v>
      </c>
      <c r="X36" s="32">
        <v>0</v>
      </c>
      <c r="Y36" s="32">
        <v>0</v>
      </c>
      <c r="Z36" s="32" t="s">
        <v>195</v>
      </c>
      <c r="AA36" s="32" t="s">
        <v>190</v>
      </c>
    </row>
    <row r="37" spans="2:27" ht="33.950000000000003" customHeight="1">
      <c r="B37" s="35" t="s">
        <v>196</v>
      </c>
      <c r="C37" s="34" t="s">
        <v>197</v>
      </c>
      <c r="D37" s="36" t="s">
        <v>42</v>
      </c>
      <c r="E37" s="37"/>
      <c r="F37" s="38"/>
      <c r="G37" s="39"/>
      <c r="H37" s="40"/>
      <c r="I37" s="80" t="str">
        <f>IF(SUMIFS($S$10:$S$609,$P$10:$P$609,"C03E04")=0,"—",SUMIFS($T$10:$T$609,$P$10:$P$609,"C03E04")&amp;"/"&amp;SUMIFS($S$10:$S$609,$P$10:$P$609,"C03E04"))</f>
        <v>0/1</v>
      </c>
      <c r="J37" s="87" t="str">
        <f>IF(SUMIFS($S$10:$S$609,$P$10:$P$609,"C03E04")=0,"",IF(SUMIFS($T$10:$T$609,$P$10:$P$609,"C03E04")=0,"0%",SUMIFS($T$10:$T$609,$P$10:$P$609,"C03E04")/SUMIFS($S$10:$S$609,$P$10:$P$609,"C03E04")))</f>
        <v>0%</v>
      </c>
      <c r="N37" s="32" t="s">
        <v>198</v>
      </c>
      <c r="O37" s="32">
        <v>3</v>
      </c>
      <c r="P37" s="32" t="s">
        <v>187</v>
      </c>
      <c r="Q37" s="32" t="s">
        <v>199</v>
      </c>
      <c r="R37" s="32">
        <v>1</v>
      </c>
      <c r="S37" s="32">
        <f t="shared" si="0"/>
        <v>1</v>
      </c>
      <c r="T37" s="32">
        <f>--('Ch.3 - Calculer et compter'!I56="✓ Correct")</f>
        <v>0</v>
      </c>
      <c r="U37" s="32">
        <v>1</v>
      </c>
      <c r="V37" s="32">
        <v>0</v>
      </c>
      <c r="W37" s="32">
        <v>0</v>
      </c>
      <c r="X37" s="32">
        <v>0</v>
      </c>
      <c r="Y37" s="32">
        <v>0</v>
      </c>
      <c r="Z37" s="32" t="s">
        <v>200</v>
      </c>
      <c r="AA37" s="32" t="s">
        <v>190</v>
      </c>
    </row>
    <row r="38" spans="2:27" ht="33.950000000000003" customHeight="1">
      <c r="B38" s="35" t="s">
        <v>201</v>
      </c>
      <c r="C38" s="34" t="s">
        <v>202</v>
      </c>
      <c r="D38" s="36" t="s">
        <v>42</v>
      </c>
      <c r="E38" s="37"/>
      <c r="F38" s="38"/>
      <c r="G38" s="39"/>
      <c r="H38" s="40"/>
      <c r="I38" s="80" t="str">
        <f>IF(SUMIFS($S$10:$S$609,$P$10:$P$609,"C03E05")=0,"—",SUMIFS($T$10:$T$609,$P$10:$P$609,"C03E05")&amp;"/"&amp;SUMIFS($S$10:$S$609,$P$10:$P$609,"C03E05"))</f>
        <v>0/1</v>
      </c>
      <c r="J38" s="87" t="str">
        <f>IF(SUMIFS($S$10:$S$609,$P$10:$P$609,"C03E05")=0,"",IF(SUMIFS($T$10:$T$609,$P$10:$P$609,"C03E05")=0,"0%",SUMIFS($T$10:$T$609,$P$10:$P$609,"C03E05")/SUMIFS($S$10:$S$609,$P$10:$P$609,"C03E05")))</f>
        <v>0%</v>
      </c>
      <c r="N38" s="32" t="s">
        <v>203</v>
      </c>
      <c r="O38" s="32">
        <v>3</v>
      </c>
      <c r="P38" s="32" t="s">
        <v>204</v>
      </c>
      <c r="Q38" s="32" t="s">
        <v>205</v>
      </c>
      <c r="R38" s="32">
        <v>1</v>
      </c>
      <c r="S38" s="32">
        <f t="shared" si="0"/>
        <v>1</v>
      </c>
      <c r="T38" s="32">
        <f>--('Ch.3 - Calculer et compter'!I72="✓ Correct")</f>
        <v>0</v>
      </c>
      <c r="U38" s="32">
        <v>1</v>
      </c>
      <c r="V38" s="32">
        <v>0</v>
      </c>
      <c r="W38" s="32">
        <v>0</v>
      </c>
      <c r="X38" s="32">
        <v>0</v>
      </c>
      <c r="Y38" s="32">
        <v>0</v>
      </c>
      <c r="Z38" s="32" t="s">
        <v>206</v>
      </c>
      <c r="AA38" s="32" t="s">
        <v>190</v>
      </c>
    </row>
    <row r="39" spans="2:27" ht="33.950000000000003" customHeight="1">
      <c r="B39" s="35" t="s">
        <v>207</v>
      </c>
      <c r="C39" s="34" t="s">
        <v>208</v>
      </c>
      <c r="D39" s="36" t="s">
        <v>42</v>
      </c>
      <c r="E39" s="37"/>
      <c r="F39" s="38"/>
      <c r="G39" s="39"/>
      <c r="H39" s="40"/>
      <c r="I39" s="80" t="str">
        <f>IF(SUMIFS($S$10:$S$609,$P$10:$P$609,"C03E06")=0,"—",SUMIFS($T$10:$T$609,$P$10:$P$609,"C03E06")&amp;"/"&amp;SUMIFS($S$10:$S$609,$P$10:$P$609,"C03E06"))</f>
        <v>0/1</v>
      </c>
      <c r="J39" s="87" t="str">
        <f>IF(SUMIFS($S$10:$S$609,$P$10:$P$609,"C03E06")=0,"",IF(SUMIFS($T$10:$T$609,$P$10:$P$609,"C03E06")=0,"0%",SUMIFS($T$10:$T$609,$P$10:$P$609,"C03E06")/SUMIFS($S$10:$S$609,$P$10:$P$609,"C03E06")))</f>
        <v>0%</v>
      </c>
      <c r="N39" s="32" t="s">
        <v>209</v>
      </c>
      <c r="O39" s="32">
        <v>3</v>
      </c>
      <c r="P39" s="32" t="s">
        <v>204</v>
      </c>
      <c r="Q39" s="32" t="s">
        <v>210</v>
      </c>
      <c r="R39" s="32">
        <v>1</v>
      </c>
      <c r="S39" s="32">
        <f t="shared" si="0"/>
        <v>1</v>
      </c>
      <c r="T39" s="32">
        <f>--('Ch.3 - Calculer et compter'!I86="✓ Correct")</f>
        <v>0</v>
      </c>
      <c r="U39" s="32">
        <v>1</v>
      </c>
      <c r="V39" s="32">
        <v>0</v>
      </c>
      <c r="W39" s="32">
        <v>0</v>
      </c>
      <c r="X39" s="32">
        <v>0</v>
      </c>
      <c r="Y39" s="32">
        <v>0</v>
      </c>
      <c r="Z39" s="32" t="s">
        <v>211</v>
      </c>
      <c r="AA39" s="32" t="s">
        <v>190</v>
      </c>
    </row>
    <row r="40" spans="2:27" ht="33.950000000000003" customHeight="1">
      <c r="B40" s="35" t="s">
        <v>212</v>
      </c>
      <c r="C40" s="34" t="s">
        <v>213</v>
      </c>
      <c r="D40" s="36" t="s">
        <v>42</v>
      </c>
      <c r="E40" s="37"/>
      <c r="F40" s="38"/>
      <c r="G40" s="39"/>
      <c r="H40" s="40"/>
      <c r="I40" s="80" t="str">
        <f>IF(SUMIFS($S$10:$S$609,$P$10:$P$609,"C03E07")=0,"—",SUMIFS($T$10:$T$609,$P$10:$P$609,"C03E07")&amp;"/"&amp;SUMIFS($S$10:$S$609,$P$10:$P$609,"C03E07"))</f>
        <v>0/1</v>
      </c>
      <c r="J40" s="87" t="str">
        <f>IF(SUMIFS($S$10:$S$609,$P$10:$P$609,"C03E07")=0,"",IF(SUMIFS($T$10:$T$609,$P$10:$P$609,"C03E07")=0,"0%",SUMIFS($T$10:$T$609,$P$10:$P$609,"C03E07")/SUMIFS($S$10:$S$609,$P$10:$P$609,"C03E07")))</f>
        <v>0%</v>
      </c>
      <c r="N40" s="32" t="s">
        <v>214</v>
      </c>
      <c r="O40" s="32">
        <v>3</v>
      </c>
      <c r="P40" s="32" t="s">
        <v>204</v>
      </c>
      <c r="Q40" s="32" t="s">
        <v>215</v>
      </c>
      <c r="R40" s="32">
        <v>1</v>
      </c>
      <c r="S40" s="32">
        <f t="shared" si="0"/>
        <v>1</v>
      </c>
      <c r="T40" s="32">
        <f>--('Ch.3 - Calculer et compter'!I100="✓ Correct")</f>
        <v>0</v>
      </c>
      <c r="U40" s="32">
        <v>1</v>
      </c>
      <c r="V40" s="32">
        <v>0</v>
      </c>
      <c r="W40" s="32">
        <v>0</v>
      </c>
      <c r="X40" s="32">
        <v>0</v>
      </c>
      <c r="Y40" s="32">
        <v>0</v>
      </c>
      <c r="Z40" s="32" t="s">
        <v>216</v>
      </c>
      <c r="AA40" s="32" t="s">
        <v>190</v>
      </c>
    </row>
    <row r="41" spans="2:27" ht="33.950000000000003" customHeight="1">
      <c r="B41" s="35" t="s">
        <v>217</v>
      </c>
      <c r="C41" s="34" t="s">
        <v>218</v>
      </c>
      <c r="D41" s="36" t="s">
        <v>42</v>
      </c>
      <c r="E41" s="37"/>
      <c r="F41" s="38"/>
      <c r="G41" s="39"/>
      <c r="H41" s="40"/>
      <c r="I41" s="80" t="str">
        <f>IF(SUMIFS($S$10:$S$609,$P$10:$P$609,"C03E08")=0,"—",SUMIFS($T$10:$T$609,$P$10:$P$609,"C03E08")&amp;"/"&amp;SUMIFS($S$10:$S$609,$P$10:$P$609,"C03E08"))</f>
        <v>0/1</v>
      </c>
      <c r="J41" s="87" t="str">
        <f>IF(SUMIFS($S$10:$S$609,$P$10:$P$609,"C03E08")=0,"",IF(SUMIFS($T$10:$T$609,$P$10:$P$609,"C03E08")=0,"0%",SUMIFS($T$10:$T$609,$P$10:$P$609,"C03E08")/SUMIFS($S$10:$S$609,$P$10:$P$609,"C03E08")))</f>
        <v>0%</v>
      </c>
      <c r="N41" s="32" t="s">
        <v>219</v>
      </c>
      <c r="O41" s="32">
        <v>3</v>
      </c>
      <c r="P41" s="32" t="s">
        <v>220</v>
      </c>
      <c r="Q41" s="32" t="s">
        <v>221</v>
      </c>
      <c r="R41" s="32">
        <v>1</v>
      </c>
      <c r="S41" s="32">
        <f t="shared" si="0"/>
        <v>1</v>
      </c>
      <c r="T41" s="32">
        <f>--('Ch.3 - Calculer et compter'!I117="✓ Correct")</f>
        <v>0</v>
      </c>
      <c r="U41" s="32">
        <v>1</v>
      </c>
      <c r="V41" s="32">
        <v>0</v>
      </c>
      <c r="W41" s="32">
        <v>0</v>
      </c>
      <c r="X41" s="32">
        <v>0</v>
      </c>
      <c r="Y41" s="32">
        <v>0</v>
      </c>
      <c r="Z41" s="32" t="s">
        <v>222</v>
      </c>
      <c r="AA41" s="32" t="s">
        <v>190</v>
      </c>
    </row>
    <row r="42" spans="2:27" ht="33.950000000000003" customHeight="1">
      <c r="B42" s="35" t="s">
        <v>223</v>
      </c>
      <c r="C42" s="34" t="s">
        <v>224</v>
      </c>
      <c r="D42" s="36" t="s">
        <v>42</v>
      </c>
      <c r="E42" s="37"/>
      <c r="F42" s="38"/>
      <c r="G42" s="39"/>
      <c r="H42" s="40"/>
      <c r="I42" s="80" t="str">
        <f>IF(SUMIFS($S$10:$S$609,$P$10:$P$609,"C03E09")=0,"—",SUMIFS($T$10:$T$609,$P$10:$P$609,"C03E09")&amp;"/"&amp;SUMIFS($S$10:$S$609,$P$10:$P$609,"C03E09"))</f>
        <v>0/2</v>
      </c>
      <c r="J42" s="87" t="str">
        <f>IF(SUMIFS($S$10:$S$609,$P$10:$P$609,"C03E09")=0,"",IF(SUMIFS($T$10:$T$609,$P$10:$P$609,"C03E09")=0,"0%",SUMIFS($T$10:$T$609,$P$10:$P$609,"C03E09")/SUMIFS($S$10:$S$609,$P$10:$P$609,"C03E09")))</f>
        <v>0%</v>
      </c>
      <c r="N42" s="32" t="s">
        <v>225</v>
      </c>
      <c r="O42" s="32">
        <v>3</v>
      </c>
      <c r="P42" s="32" t="s">
        <v>226</v>
      </c>
      <c r="Q42" s="32" t="s">
        <v>227</v>
      </c>
      <c r="R42" s="32">
        <v>1</v>
      </c>
      <c r="S42" s="32">
        <f t="shared" si="0"/>
        <v>1</v>
      </c>
      <c r="T42" s="32">
        <f>--('Ch.3 - Calculer et compter'!I133="✓ Correct")</f>
        <v>0</v>
      </c>
      <c r="U42" s="32">
        <v>1</v>
      </c>
      <c r="V42" s="32">
        <v>0</v>
      </c>
      <c r="W42" s="32">
        <v>0</v>
      </c>
      <c r="X42" s="32">
        <v>0</v>
      </c>
      <c r="Y42" s="32">
        <v>0</v>
      </c>
      <c r="Z42" s="32" t="s">
        <v>228</v>
      </c>
      <c r="AA42" s="32" t="s">
        <v>190</v>
      </c>
    </row>
    <row r="43" spans="2:27" ht="33.950000000000003" customHeight="1">
      <c r="B43" s="35" t="s">
        <v>229</v>
      </c>
      <c r="C43" s="34" t="s">
        <v>230</v>
      </c>
      <c r="D43" s="36" t="s">
        <v>42</v>
      </c>
      <c r="E43" s="37"/>
      <c r="F43" s="38"/>
      <c r="G43" s="39"/>
      <c r="H43" s="40"/>
      <c r="I43" s="80" t="str">
        <f>IF(SUMIFS($S$10:$S$609,$P$10:$P$609,"C03E10")=0,"—",SUMIFS($T$10:$T$609,$P$10:$P$609,"C03E10")&amp;"/"&amp;SUMIFS($S$10:$S$609,$P$10:$P$609,"C03E10"))</f>
        <v>0/1</v>
      </c>
      <c r="J43" s="87" t="str">
        <f>IF(SUMIFS($S$10:$S$609,$P$10:$P$609,"C03E10")=0,"",IF(SUMIFS($T$10:$T$609,$P$10:$P$609,"C03E10")=0,"0%",SUMIFS($T$10:$T$609,$P$10:$P$609,"C03E10")/SUMIFS($S$10:$S$609,$P$10:$P$609,"C03E10")))</f>
        <v>0%</v>
      </c>
      <c r="N43" s="32" t="s">
        <v>231</v>
      </c>
      <c r="O43" s="32">
        <v>3</v>
      </c>
      <c r="P43" s="32" t="s">
        <v>232</v>
      </c>
      <c r="Q43" s="32" t="s">
        <v>233</v>
      </c>
      <c r="R43" s="32">
        <v>1</v>
      </c>
      <c r="S43" s="32">
        <f t="shared" si="0"/>
        <v>1</v>
      </c>
      <c r="T43" s="32">
        <f>--('Ch.3 - Calculer et compter'!I149="✓ Correct")</f>
        <v>0</v>
      </c>
      <c r="U43" s="32">
        <v>1</v>
      </c>
      <c r="V43" s="32">
        <v>0</v>
      </c>
      <c r="W43" s="32">
        <v>0</v>
      </c>
      <c r="X43" s="32">
        <v>0</v>
      </c>
      <c r="Y43" s="32">
        <v>0</v>
      </c>
      <c r="Z43" s="32" t="s">
        <v>234</v>
      </c>
      <c r="AA43" s="32" t="s">
        <v>190</v>
      </c>
    </row>
    <row r="44" spans="2:27" ht="33.950000000000003" customHeight="1">
      <c r="B44" s="35" t="s">
        <v>235</v>
      </c>
      <c r="C44" s="34" t="s">
        <v>236</v>
      </c>
      <c r="D44" s="36" t="s">
        <v>42</v>
      </c>
      <c r="E44" s="37"/>
      <c r="F44" s="38"/>
      <c r="G44" s="39"/>
      <c r="H44" s="40"/>
      <c r="I44" s="80" t="str">
        <f>IF(SUMIFS($S$10:$S$609,$P$10:$P$609,"C03E11")=0,"—",SUMIFS($T$10:$T$609,$P$10:$P$609,"C03E11")&amp;"/"&amp;SUMIFS($S$10:$S$609,$P$10:$P$609,"C03E11"))</f>
        <v>0/1</v>
      </c>
      <c r="J44" s="87" t="str">
        <f>IF(SUMIFS($S$10:$S$609,$P$10:$P$609,"C03E11")=0,"",IF(SUMIFS($T$10:$T$609,$P$10:$P$609,"C03E11")=0,"0%",SUMIFS($T$10:$T$609,$P$10:$P$609,"C03E11")/SUMIFS($S$10:$S$609,$P$10:$P$609,"C03E11")))</f>
        <v>0%</v>
      </c>
      <c r="N44" s="32" t="s">
        <v>237</v>
      </c>
      <c r="O44" s="32">
        <v>3</v>
      </c>
      <c r="P44" s="32" t="s">
        <v>238</v>
      </c>
      <c r="Q44" s="32" t="s">
        <v>239</v>
      </c>
      <c r="R44" s="32">
        <v>1</v>
      </c>
      <c r="S44" s="32">
        <f t="shared" si="0"/>
        <v>1</v>
      </c>
      <c r="T44" s="32">
        <f>--('Ch.3 - Calculer et compter'!I165="✓ Correct")</f>
        <v>0</v>
      </c>
      <c r="U44" s="32">
        <v>1</v>
      </c>
      <c r="V44" s="32">
        <v>0</v>
      </c>
      <c r="W44" s="32">
        <v>0</v>
      </c>
      <c r="X44" s="32">
        <v>0</v>
      </c>
      <c r="Y44" s="32">
        <v>0</v>
      </c>
      <c r="Z44" s="32" t="s">
        <v>240</v>
      </c>
      <c r="AA44" s="32" t="s">
        <v>190</v>
      </c>
    </row>
    <row r="45" spans="2:27" ht="33.950000000000003" customHeight="1">
      <c r="B45" s="35" t="s">
        <v>241</v>
      </c>
      <c r="C45" s="34" t="s">
        <v>242</v>
      </c>
      <c r="D45" s="36" t="s">
        <v>42</v>
      </c>
      <c r="E45" s="37"/>
      <c r="F45" s="38"/>
      <c r="G45" s="39"/>
      <c r="H45" s="40"/>
      <c r="I45" s="80" t="str">
        <f>IF(SUMIFS($S$10:$S$609,$P$10:$P$609,"C03E12")=0,"—",SUMIFS($T$10:$T$609,$P$10:$P$609,"C03E12")&amp;"/"&amp;SUMIFS($S$10:$S$609,$P$10:$P$609,"C03E12"))</f>
        <v>0/2</v>
      </c>
      <c r="J45" s="87" t="str">
        <f>IF(SUMIFS($S$10:$S$609,$P$10:$P$609,"C03E12")=0,"",IF(SUMIFS($T$10:$T$609,$P$10:$P$609,"C03E12")=0,"0%",SUMIFS($T$10:$T$609,$P$10:$P$609,"C03E12")/SUMIFS($S$10:$S$609,$P$10:$P$609,"C03E12")))</f>
        <v>0%</v>
      </c>
      <c r="N45" s="32" t="s">
        <v>243</v>
      </c>
      <c r="O45" s="32">
        <v>3</v>
      </c>
      <c r="P45" s="32" t="s">
        <v>244</v>
      </c>
      <c r="Q45" s="32" t="s">
        <v>245</v>
      </c>
      <c r="R45" s="32">
        <v>1</v>
      </c>
      <c r="S45" s="32">
        <f t="shared" si="0"/>
        <v>1</v>
      </c>
      <c r="T45" s="32">
        <f>--('Ch.3 - Calculer et compter'!I182="✓ Correct")</f>
        <v>0</v>
      </c>
      <c r="U45" s="32">
        <v>1</v>
      </c>
      <c r="V45" s="32">
        <v>0</v>
      </c>
      <c r="W45" s="32">
        <v>0</v>
      </c>
      <c r="X45" s="32">
        <v>0</v>
      </c>
      <c r="Y45" s="32">
        <v>0</v>
      </c>
      <c r="Z45" s="32" t="s">
        <v>246</v>
      </c>
      <c r="AA45" s="32" t="s">
        <v>190</v>
      </c>
    </row>
    <row r="46" spans="2:27" ht="33.950000000000003" customHeight="1">
      <c r="B46" s="35" t="s">
        <v>247</v>
      </c>
      <c r="C46" s="34" t="s">
        <v>248</v>
      </c>
      <c r="D46" s="36"/>
      <c r="E46" s="37" t="s">
        <v>42</v>
      </c>
      <c r="F46" s="38"/>
      <c r="G46" s="39"/>
      <c r="H46" s="40"/>
      <c r="I46" s="80" t="str">
        <f>IF(SUMIFS($S$10:$S$609,$P$10:$P$609,"C03E13")=0,"—",SUMIFS($T$10:$T$609,$P$10:$P$609,"C03E13")&amp;"/"&amp;SUMIFS($S$10:$S$609,$P$10:$P$609,"C03E13"))</f>
        <v>0/1</v>
      </c>
      <c r="J46" s="87" t="str">
        <f>IF(SUMIFS($S$10:$S$609,$P$10:$P$609,"C03E13")=0,"",IF(SUMIFS($T$10:$T$609,$P$10:$P$609,"C03E13")=0,"0%",SUMIFS($T$10:$T$609,$P$10:$P$609,"C03E13")/SUMIFS($S$10:$S$609,$P$10:$P$609,"C03E13")))</f>
        <v>0%</v>
      </c>
      <c r="N46" s="32" t="s">
        <v>249</v>
      </c>
      <c r="O46" s="32">
        <v>3</v>
      </c>
      <c r="P46" s="32" t="s">
        <v>250</v>
      </c>
      <c r="Q46" s="32" t="s">
        <v>251</v>
      </c>
      <c r="R46" s="32">
        <v>1</v>
      </c>
      <c r="S46" s="32">
        <f t="shared" si="0"/>
        <v>1</v>
      </c>
      <c r="T46" s="32">
        <f>--('Ch.3 - Calculer et compter'!I198="✓ Correct")</f>
        <v>0</v>
      </c>
      <c r="U46" s="32">
        <v>1</v>
      </c>
      <c r="V46" s="32">
        <v>0</v>
      </c>
      <c r="W46" s="32">
        <v>0</v>
      </c>
      <c r="X46" s="32">
        <v>0</v>
      </c>
      <c r="Y46" s="32">
        <v>0</v>
      </c>
      <c r="Z46" s="32" t="s">
        <v>252</v>
      </c>
      <c r="AA46" s="32" t="s">
        <v>190</v>
      </c>
    </row>
    <row r="47" spans="2:27" ht="33.950000000000003" customHeight="1">
      <c r="B47" s="35" t="s">
        <v>253</v>
      </c>
      <c r="C47" s="34" t="s">
        <v>254</v>
      </c>
      <c r="D47" s="36"/>
      <c r="E47" s="37" t="s">
        <v>42</v>
      </c>
      <c r="F47" s="38"/>
      <c r="G47" s="39"/>
      <c r="H47" s="40"/>
      <c r="I47" s="80" t="str">
        <f>IF(SUMIFS($S$10:$S$609,$P$10:$P$609,"C03E14")=0,"—",SUMIFS($T$10:$T$609,$P$10:$P$609,"C03E14")&amp;"/"&amp;SUMIFS($S$10:$S$609,$P$10:$P$609,"C03E14"))</f>
        <v>0/1</v>
      </c>
      <c r="J47" s="87" t="str">
        <f>IF(SUMIFS($S$10:$S$609,$P$10:$P$609,"C03E14")=0,"",IF(SUMIFS($T$10:$T$609,$P$10:$P$609,"C03E14")=0,"0%",SUMIFS($T$10:$T$609,$P$10:$P$609,"C03E14")/SUMIFS($S$10:$S$609,$P$10:$P$609,"C03E14")))</f>
        <v>0%</v>
      </c>
      <c r="N47" s="32" t="s">
        <v>255</v>
      </c>
      <c r="O47" s="32">
        <v>3</v>
      </c>
      <c r="P47" s="32" t="s">
        <v>256</v>
      </c>
      <c r="Q47" s="32" t="s">
        <v>257</v>
      </c>
      <c r="R47" s="32">
        <v>1</v>
      </c>
      <c r="S47" s="32">
        <f t="shared" si="0"/>
        <v>1</v>
      </c>
      <c r="T47" s="32">
        <f>--('Ch.3 - Calculer et compter'!I215="✓ Correct")</f>
        <v>0</v>
      </c>
      <c r="U47" s="32">
        <v>1</v>
      </c>
      <c r="V47" s="32">
        <v>0</v>
      </c>
      <c r="W47" s="32">
        <v>0</v>
      </c>
      <c r="X47" s="32">
        <v>0</v>
      </c>
      <c r="Y47" s="32">
        <v>0</v>
      </c>
      <c r="Z47" s="32" t="s">
        <v>258</v>
      </c>
      <c r="AA47" s="32" t="s">
        <v>190</v>
      </c>
    </row>
    <row r="48" spans="2:27" ht="33.950000000000003" customHeight="1">
      <c r="B48" s="35" t="s">
        <v>259</v>
      </c>
      <c r="C48" s="34" t="s">
        <v>260</v>
      </c>
      <c r="D48" s="36" t="s">
        <v>42</v>
      </c>
      <c r="E48" s="37"/>
      <c r="F48" s="38"/>
      <c r="G48" s="39"/>
      <c r="H48" s="40"/>
      <c r="I48" s="80" t="str">
        <f>IF(SUMIFS($S$10:$S$609,$P$10:$P$609,"C03E15")=0,"—",SUMIFS($T$10:$T$609,$P$10:$P$609,"C03E15")&amp;"/"&amp;SUMIFS($S$10:$S$609,$P$10:$P$609,"C03E15"))</f>
        <v>0/4</v>
      </c>
      <c r="J48" s="87" t="str">
        <f>IF(SUMIFS($S$10:$S$609,$P$10:$P$609,"C03E15")=0,"",IF(SUMIFS($T$10:$T$609,$P$10:$P$609,"C03E15")=0,"0%",SUMIFS($T$10:$T$609,$P$10:$P$609,"C03E15")/SUMIFS($S$10:$S$609,$P$10:$P$609,"C03E15")))</f>
        <v>0%</v>
      </c>
      <c r="N48" s="32" t="s">
        <v>261</v>
      </c>
      <c r="O48" s="32">
        <v>3</v>
      </c>
      <c r="P48" s="32" t="s">
        <v>256</v>
      </c>
      <c r="Q48" s="32" t="s">
        <v>262</v>
      </c>
      <c r="R48" s="32">
        <v>1</v>
      </c>
      <c r="S48" s="32">
        <f t="shared" si="0"/>
        <v>1</v>
      </c>
      <c r="T48" s="32">
        <f>--('Ch.3 - Calculer et compter'!I229="✓ Correct")</f>
        <v>0</v>
      </c>
      <c r="U48" s="32">
        <v>1</v>
      </c>
      <c r="V48" s="32">
        <v>0</v>
      </c>
      <c r="W48" s="32">
        <v>0</v>
      </c>
      <c r="X48" s="32">
        <v>0</v>
      </c>
      <c r="Y48" s="32">
        <v>0</v>
      </c>
      <c r="Z48" s="32" t="s">
        <v>263</v>
      </c>
      <c r="AA48" s="32" t="s">
        <v>190</v>
      </c>
    </row>
    <row r="49" spans="2:27" ht="33.950000000000003" customHeight="1">
      <c r="B49" s="35" t="s">
        <v>264</v>
      </c>
      <c r="C49" s="34" t="s">
        <v>265</v>
      </c>
      <c r="D49" s="36" t="s">
        <v>42</v>
      </c>
      <c r="E49" s="37"/>
      <c r="F49" s="38"/>
      <c r="G49" s="39"/>
      <c r="H49" s="40"/>
      <c r="I49" s="80" t="str">
        <f>IF(SUMIFS($S$10:$S$609,$P$10:$P$609,"C03E16")=0,"—",SUMIFS($T$10:$T$609,$P$10:$P$609,"C03E16")&amp;"/"&amp;SUMIFS($S$10:$S$609,$P$10:$P$609,"C03E16"))</f>
        <v>0/3</v>
      </c>
      <c r="J49" s="87" t="str">
        <f>IF(SUMIFS($S$10:$S$609,$P$10:$P$609,"C03E16")=0,"",IF(SUMIFS($T$10:$T$609,$P$10:$P$609,"C03E16")=0,"0%",SUMIFS($T$10:$T$609,$P$10:$P$609,"C03E16")/SUMIFS($S$10:$S$609,$P$10:$P$609,"C03E16")))</f>
        <v>0%</v>
      </c>
      <c r="N49" s="32" t="s">
        <v>266</v>
      </c>
      <c r="O49" s="32">
        <v>3</v>
      </c>
      <c r="P49" s="32" t="s">
        <v>267</v>
      </c>
      <c r="Q49" s="32" t="s">
        <v>268</v>
      </c>
      <c r="R49" s="32">
        <v>1</v>
      </c>
      <c r="S49" s="32">
        <f t="shared" si="0"/>
        <v>1</v>
      </c>
      <c r="T49" s="32">
        <f>--('Ch.3 - Calculer et compter'!I246="✓ Correct")</f>
        <v>0</v>
      </c>
      <c r="U49" s="32">
        <v>1</v>
      </c>
      <c r="V49" s="32">
        <v>0</v>
      </c>
      <c r="W49" s="32">
        <v>0</v>
      </c>
      <c r="X49" s="32">
        <v>0</v>
      </c>
      <c r="Y49" s="32">
        <v>0</v>
      </c>
      <c r="Z49" s="32" t="s">
        <v>269</v>
      </c>
      <c r="AA49" s="32" t="s">
        <v>190</v>
      </c>
    </row>
    <row r="50" spans="2:27" ht="33.950000000000003" customHeight="1">
      <c r="B50" s="35" t="s">
        <v>270</v>
      </c>
      <c r="C50" s="34" t="s">
        <v>271</v>
      </c>
      <c r="D50" s="36" t="s">
        <v>42</v>
      </c>
      <c r="E50" s="37"/>
      <c r="F50" s="38"/>
      <c r="G50" s="39"/>
      <c r="H50" s="40"/>
      <c r="I50" s="80" t="str">
        <f>IF(SUMIFS($S$10:$S$609,$P$10:$P$609,"C03E17")=0,"—",SUMIFS($T$10:$T$609,$P$10:$P$609,"C03E17")&amp;"/"&amp;SUMIFS($S$10:$S$609,$P$10:$P$609,"C03E17"))</f>
        <v>0/2</v>
      </c>
      <c r="J50" s="87" t="str">
        <f>IF(SUMIFS($S$10:$S$609,$P$10:$P$609,"C03E17")=0,"",IF(SUMIFS($T$10:$T$609,$P$10:$P$609,"C03E17")=0,"0%",SUMIFS($T$10:$T$609,$P$10:$P$609,"C03E17")/SUMIFS($S$10:$S$609,$P$10:$P$609,"C03E17")))</f>
        <v>0%</v>
      </c>
      <c r="N50" s="32" t="s">
        <v>272</v>
      </c>
      <c r="O50" s="32">
        <v>3</v>
      </c>
      <c r="P50" s="32" t="s">
        <v>273</v>
      </c>
      <c r="Q50" s="32" t="s">
        <v>274</v>
      </c>
      <c r="R50" s="32">
        <v>1</v>
      </c>
      <c r="S50" s="32">
        <f t="shared" si="0"/>
        <v>1</v>
      </c>
      <c r="T50" s="32">
        <f>--('Ch.3 - Calculer et compter'!I262="✓ Correct")</f>
        <v>0</v>
      </c>
      <c r="U50" s="32">
        <v>1</v>
      </c>
      <c r="V50" s="32">
        <v>0</v>
      </c>
      <c r="W50" s="32">
        <v>0</v>
      </c>
      <c r="X50" s="32">
        <v>0</v>
      </c>
      <c r="Y50" s="32">
        <v>0</v>
      </c>
      <c r="Z50" s="32" t="s">
        <v>275</v>
      </c>
      <c r="AA50" s="32" t="s">
        <v>190</v>
      </c>
    </row>
    <row r="51" spans="2:27">
      <c r="I51" s="85"/>
      <c r="J51" s="125"/>
      <c r="N51" s="32" t="s">
        <v>276</v>
      </c>
      <c r="O51" s="32">
        <v>3</v>
      </c>
      <c r="P51" s="32" t="s">
        <v>277</v>
      </c>
      <c r="Q51" s="32" t="s">
        <v>278</v>
      </c>
      <c r="R51" s="32">
        <v>1</v>
      </c>
      <c r="S51" s="32">
        <f t="shared" si="0"/>
        <v>1</v>
      </c>
      <c r="T51" s="32">
        <f>--('Ch.3 - Calculer et compter'!I278="✓ Correct")</f>
        <v>0</v>
      </c>
      <c r="U51" s="32">
        <v>1</v>
      </c>
      <c r="V51" s="32">
        <v>0</v>
      </c>
      <c r="W51" s="32">
        <v>0</v>
      </c>
      <c r="X51" s="32">
        <v>0</v>
      </c>
      <c r="Y51" s="32">
        <v>0</v>
      </c>
      <c r="Z51" s="32" t="s">
        <v>279</v>
      </c>
      <c r="AA51" s="32" t="s">
        <v>190</v>
      </c>
    </row>
    <row r="52" spans="2:27" ht="21.95" customHeight="1">
      <c r="B52" s="33" t="s">
        <v>280</v>
      </c>
      <c r="C52" s="96"/>
      <c r="D52" s="96"/>
      <c r="E52" s="96"/>
      <c r="F52" s="96"/>
      <c r="G52" s="96"/>
      <c r="H52" s="96"/>
      <c r="I52" s="83" t="str">
        <f>IF(SUMIFS($S$10:$S$609,$O$10:$O$609,4)=0,"—",SUMIFS($T$10:$T$609,$O$10:$O$609,4)&amp;"/"&amp;SUMIFS($S$10:$S$609,$O$10:$O$609,4))</f>
        <v>0/23</v>
      </c>
      <c r="J52" s="97" t="str">
        <f>IF(SUMIFS($S$10:$S$609,$O$10:$O$609,4)=0,"",IF(SUMIFS($T$10:$T$609,$O$10:$O$609,4)=0,"0%",SUMIFS($T$10:$T$609,$O$10:$O$609,4)/SUMIFS($S$10:$S$609,$O$10:$O$609,4)))</f>
        <v>0%</v>
      </c>
      <c r="N52" s="32" t="s">
        <v>281</v>
      </c>
      <c r="O52" s="32">
        <v>3</v>
      </c>
      <c r="P52" s="32" t="s">
        <v>282</v>
      </c>
      <c r="Q52" s="32" t="s">
        <v>283</v>
      </c>
      <c r="R52" s="32">
        <v>1</v>
      </c>
      <c r="S52" s="32">
        <f t="shared" si="0"/>
        <v>1</v>
      </c>
      <c r="T52" s="32">
        <f>--('Ch.3 - Calculer et compter'!I295="✓ Correct")</f>
        <v>0</v>
      </c>
      <c r="U52" s="32">
        <v>0</v>
      </c>
      <c r="V52" s="32">
        <v>1</v>
      </c>
      <c r="W52" s="32">
        <v>0</v>
      </c>
      <c r="X52" s="32">
        <v>0</v>
      </c>
      <c r="Y52" s="32">
        <v>0</v>
      </c>
      <c r="Z52" s="32" t="s">
        <v>284</v>
      </c>
      <c r="AA52" s="32" t="s">
        <v>190</v>
      </c>
    </row>
    <row r="53" spans="2:27" ht="33.950000000000003" customHeight="1">
      <c r="B53" s="35" t="s">
        <v>285</v>
      </c>
      <c r="C53" s="34" t="s">
        <v>286</v>
      </c>
      <c r="D53" s="36" t="s">
        <v>42</v>
      </c>
      <c r="E53" s="37" t="str">
        <f>IF(COUNTIFS($P$10:$P$609,"C04E01",$R$10:$R$609,1,$V$10:$V$609,1)&gt;0,"●","")</f>
        <v/>
      </c>
      <c r="F53" s="38" t="str">
        <f>IF(COUNTIFS($P$10:$P$609,"C04E01",$R$10:$R$609,1,$W$10:$W$609,1)&gt;0,"●","")</f>
        <v/>
      </c>
      <c r="G53" s="39" t="str">
        <f>IF(COUNTIFS($P$10:$P$609,"C04E01",$R$10:$R$609,1,$X$10:$X$609,1)&gt;0,"●","")</f>
        <v/>
      </c>
      <c r="H53" s="40" t="str">
        <f>IF(COUNTIFS($P$10:$P$609,"C04E01",$R$10:$R$609,1,$Y$10:$Y$609,1)&gt;0,"●","")</f>
        <v/>
      </c>
      <c r="I53" s="92" t="str">
        <f>IF(SUMIFS($S$10:$S$609,$P$10:$P$609,"C04E01")=0,"—",SUMIFS($T$10:$T$609,$P$10:$P$609,"C04E01")&amp;"/"&amp;SUMIFS($S$10:$S$609,$P$10:$P$609,"C04E01"))</f>
        <v>0/3</v>
      </c>
      <c r="J53" s="91" t="str">
        <f>IF(SUMIFS($S$10:$S$609,$P$10:$P$609,"C04E01")=0,"",IF(SUMIFS($T$10:$T$609,$P$10:$P$609,"C04E01")=0,"0%",SUMIFS($T$10:$T$609,$P$10:$P$609,"C04E01")/SUMIFS($S$10:$S$609,$P$10:$P$609,"C04E01")))</f>
        <v>0%</v>
      </c>
      <c r="N53" s="32" t="s">
        <v>287</v>
      </c>
      <c r="O53" s="32">
        <v>3</v>
      </c>
      <c r="P53" s="32" t="s">
        <v>288</v>
      </c>
      <c r="Q53" s="32" t="s">
        <v>289</v>
      </c>
      <c r="R53" s="32">
        <v>1</v>
      </c>
      <c r="S53" s="32">
        <f t="shared" si="0"/>
        <v>1</v>
      </c>
      <c r="T53" s="32">
        <f>--('Ch.3 - Calculer et compter'!I312="✓ Correct")</f>
        <v>0</v>
      </c>
      <c r="U53" s="32">
        <v>0</v>
      </c>
      <c r="V53" s="32">
        <v>1</v>
      </c>
      <c r="W53" s="32">
        <v>0</v>
      </c>
      <c r="X53" s="32">
        <v>0</v>
      </c>
      <c r="Y53" s="32">
        <v>0</v>
      </c>
      <c r="Z53" s="32" t="s">
        <v>290</v>
      </c>
      <c r="AA53" s="32" t="s">
        <v>190</v>
      </c>
    </row>
    <row r="54" spans="2:27" ht="33.950000000000003" customHeight="1">
      <c r="B54" s="35" t="s">
        <v>291</v>
      </c>
      <c r="C54" s="34" t="s">
        <v>292</v>
      </c>
      <c r="D54" s="36" t="s">
        <v>42</v>
      </c>
      <c r="E54" s="37" t="str">
        <f>IF(COUNTIFS($P$10:$P$609,"C04E02",$R$10:$R$609,1,$V$10:$V$609,1)&gt;0,"●","")</f>
        <v/>
      </c>
      <c r="F54" s="38" t="str">
        <f>IF(COUNTIFS($P$10:$P$609,"C04E02",$R$10:$R$609,1,$W$10:$W$609,1)&gt;0,"●","")</f>
        <v/>
      </c>
      <c r="G54" s="39" t="str">
        <f>IF(COUNTIFS($P$10:$P$609,"C04E02",$R$10:$R$609,1,$X$10:$X$609,1)&gt;0,"●","")</f>
        <v/>
      </c>
      <c r="H54" s="40" t="str">
        <f>IF(COUNTIFS($P$10:$P$609,"C04E02",$R$10:$R$609,1,$Y$10:$Y$609,1)&gt;0,"●","")</f>
        <v/>
      </c>
      <c r="I54" s="80" t="str">
        <f>IF(SUMIFS($S$10:$S$609,$P$10:$P$609,"C04E02")=0,"—",SUMIFS($T$10:$T$609,$P$10:$P$609,"C04E02")&amp;"/"&amp;SUMIFS($S$10:$S$609,$P$10:$P$609,"C04E02"))</f>
        <v>0/3</v>
      </c>
      <c r="J54" s="87" t="str">
        <f>IF(SUMIFS($S$10:$S$609,$P$10:$P$609,"C04E02")=0,"",IF(SUMIFS($T$10:$T$609,$P$10:$P$609,"C04E02")=0,"0%",SUMIFS($T$10:$T$609,$P$10:$P$609,"C04E02")/SUMIFS($S$10:$S$609,$P$10:$P$609,"C04E02")))</f>
        <v>0%</v>
      </c>
      <c r="N54" s="32" t="s">
        <v>293</v>
      </c>
      <c r="O54" s="32">
        <v>3</v>
      </c>
      <c r="P54" s="32" t="s">
        <v>277</v>
      </c>
      <c r="Q54" s="32" t="s">
        <v>294</v>
      </c>
      <c r="R54" s="32">
        <v>1</v>
      </c>
      <c r="S54" s="32">
        <f t="shared" si="0"/>
        <v>1</v>
      </c>
      <c r="T54" s="32">
        <f>--('Ch.3 - Calculer et compter'!I329="✓ Correct")</f>
        <v>0</v>
      </c>
      <c r="U54" s="32">
        <v>1</v>
      </c>
      <c r="V54" s="32">
        <v>0</v>
      </c>
      <c r="W54" s="32">
        <v>0</v>
      </c>
      <c r="X54" s="32">
        <v>0</v>
      </c>
      <c r="Y54" s="32">
        <v>0</v>
      </c>
      <c r="Z54" s="32" t="s">
        <v>295</v>
      </c>
      <c r="AA54" s="32" t="s">
        <v>190</v>
      </c>
    </row>
    <row r="55" spans="2:27" ht="33.950000000000003" customHeight="1">
      <c r="B55" s="35" t="s">
        <v>296</v>
      </c>
      <c r="C55" s="34" t="s">
        <v>297</v>
      </c>
      <c r="D55" s="36" t="s">
        <v>42</v>
      </c>
      <c r="E55" s="37" t="str">
        <f>IF(COUNTIFS($P$10:$P$609,"C04E03",$R$10:$R$609,1,$V$10:$V$609,1)&gt;0,"●","")</f>
        <v/>
      </c>
      <c r="F55" s="38" t="str">
        <f>IF(COUNTIFS($P$10:$P$609,"C04E03",$R$10:$R$609,1,$W$10:$W$609,1)&gt;0,"●","")</f>
        <v/>
      </c>
      <c r="G55" s="39" t="str">
        <f>IF(COUNTIFS($P$10:$P$609,"C04E03",$R$10:$R$609,1,$X$10:$X$609,1)&gt;0,"●","")</f>
        <v/>
      </c>
      <c r="H55" s="40" t="str">
        <f>IF(COUNTIFS($P$10:$P$609,"C04E03",$R$10:$R$609,1,$Y$10:$Y$609,1)&gt;0,"●","")</f>
        <v/>
      </c>
      <c r="I55" s="80" t="str">
        <f>IF(SUMIFS($S$10:$S$609,$P$10:$P$609,"C04E03")=0,"—",SUMIFS($T$10:$T$609,$P$10:$P$609,"C04E03")&amp;"/"&amp;SUMIFS($S$10:$S$609,$P$10:$P$609,"C04E03"))</f>
        <v>0/2</v>
      </c>
      <c r="J55" s="87" t="str">
        <f>IF(SUMIFS($S$10:$S$609,$P$10:$P$609,"C04E03")=0,"",IF(SUMIFS($T$10:$T$609,$P$10:$P$609,"C04E03")=0,"0%",SUMIFS($T$10:$T$609,$P$10:$P$609,"C04E03")/SUMIFS($S$10:$S$609,$P$10:$P$609,"C04E03")))</f>
        <v>0%</v>
      </c>
      <c r="N55" s="32" t="s">
        <v>298</v>
      </c>
      <c r="O55" s="32">
        <v>3</v>
      </c>
      <c r="P55" s="32" t="s">
        <v>299</v>
      </c>
      <c r="Q55" s="32" t="s">
        <v>300</v>
      </c>
      <c r="R55" s="32">
        <v>1</v>
      </c>
      <c r="S55" s="32">
        <f t="shared" si="0"/>
        <v>1</v>
      </c>
      <c r="T55" s="32">
        <f>--('Ch.3 - Calculer et compter'!I345="✓ Correct")</f>
        <v>0</v>
      </c>
      <c r="U55" s="32">
        <v>1</v>
      </c>
      <c r="V55" s="32">
        <v>0</v>
      </c>
      <c r="W55" s="32">
        <v>0</v>
      </c>
      <c r="X55" s="32">
        <v>0</v>
      </c>
      <c r="Y55" s="32">
        <v>0</v>
      </c>
      <c r="Z55" s="32" t="s">
        <v>301</v>
      </c>
      <c r="AA55" s="32" t="s">
        <v>190</v>
      </c>
    </row>
    <row r="56" spans="2:27" ht="33.950000000000003" customHeight="1">
      <c r="B56" s="35" t="s">
        <v>302</v>
      </c>
      <c r="C56" s="34" t="s">
        <v>303</v>
      </c>
      <c r="D56" s="36" t="s">
        <v>42</v>
      </c>
      <c r="E56" s="37" t="str">
        <f>IF(COUNTIFS($P$10:$P$609,"C04E04",$R$10:$R$609,1,$V$10:$V$609,1)&gt;0,"●","")</f>
        <v/>
      </c>
      <c r="F56" s="38" t="str">
        <f>IF(COUNTIFS($P$10:$P$609,"C04E04",$R$10:$R$609,1,$W$10:$W$609,1)&gt;0,"●","")</f>
        <v/>
      </c>
      <c r="G56" s="39" t="str">
        <f>IF(COUNTIFS($P$10:$P$609,"C04E04",$R$10:$R$609,1,$X$10:$X$609,1)&gt;0,"●","")</f>
        <v/>
      </c>
      <c r="H56" s="40" t="str">
        <f>IF(COUNTIFS($P$10:$P$609,"C04E04",$R$10:$R$609,1,$Y$10:$Y$609,1)&gt;0,"●","")</f>
        <v/>
      </c>
      <c r="I56" s="80" t="str">
        <f>IF(SUMIFS($S$10:$S$609,$P$10:$P$609,"C04E04")=0,"—",SUMIFS($T$10:$T$609,$P$10:$P$609,"C04E04")&amp;"/"&amp;SUMIFS($S$10:$S$609,$P$10:$P$609,"C04E04"))</f>
        <v>0/2</v>
      </c>
      <c r="J56" s="87" t="str">
        <f>IF(SUMIFS($S$10:$S$609,$P$10:$P$609,"C04E04")=0,"",IF(SUMIFS($T$10:$T$609,$P$10:$P$609,"C04E04")=0,"0%",SUMIFS($T$10:$T$609,$P$10:$P$609,"C04E04")/SUMIFS($S$10:$S$609,$P$10:$P$609,"C04E04")))</f>
        <v>0%</v>
      </c>
      <c r="N56" s="32" t="s">
        <v>304</v>
      </c>
      <c r="O56" s="32">
        <v>3</v>
      </c>
      <c r="P56" s="32" t="s">
        <v>299</v>
      </c>
      <c r="Q56" s="32" t="s">
        <v>305</v>
      </c>
      <c r="R56" s="32">
        <v>1</v>
      </c>
      <c r="S56" s="32">
        <f t="shared" si="0"/>
        <v>1</v>
      </c>
      <c r="T56" s="32">
        <f>--('Ch.3 - Calculer et compter'!I359="✓ Correct")</f>
        <v>0</v>
      </c>
      <c r="U56" s="32">
        <v>1</v>
      </c>
      <c r="V56" s="32">
        <v>0</v>
      </c>
      <c r="W56" s="32">
        <v>0</v>
      </c>
      <c r="X56" s="32">
        <v>0</v>
      </c>
      <c r="Y56" s="32">
        <v>0</v>
      </c>
      <c r="Z56" s="32" t="s">
        <v>306</v>
      </c>
      <c r="AA56" s="32" t="s">
        <v>190</v>
      </c>
    </row>
    <row r="57" spans="2:27" ht="33.950000000000003" customHeight="1">
      <c r="B57" s="35" t="s">
        <v>307</v>
      </c>
      <c r="C57" s="34" t="s">
        <v>308</v>
      </c>
      <c r="D57" s="36" t="s">
        <v>42</v>
      </c>
      <c r="E57" s="37" t="str">
        <f>IF(COUNTIFS($P$10:$P$609,"C04E05",$R$10:$R$609,1,$V$10:$V$609,1)&gt;0,"●","")</f>
        <v/>
      </c>
      <c r="F57" s="38" t="str">
        <f>IF(COUNTIFS($P$10:$P$609,"C04E05",$R$10:$R$609,1,$W$10:$W$609,1)&gt;0,"●","")</f>
        <v/>
      </c>
      <c r="G57" s="39" t="str">
        <f>IF(COUNTIFS($P$10:$P$609,"C04E05",$R$10:$R$609,1,$X$10:$X$609,1)&gt;0,"●","")</f>
        <v/>
      </c>
      <c r="H57" s="40" t="str">
        <f>IF(COUNTIFS($P$10:$P$609,"C04E05",$R$10:$R$609,1,$Y$10:$Y$609,1)&gt;0,"●","")</f>
        <v/>
      </c>
      <c r="I57" s="80" t="str">
        <f>IF(SUMIFS($S$10:$S$609,$P$10:$P$609,"C04E05")=0,"—",SUMIFS($T$10:$T$609,$P$10:$P$609,"C04E05")&amp;"/"&amp;SUMIFS($S$10:$S$609,$P$10:$P$609,"C04E05"))</f>
        <v>0/2</v>
      </c>
      <c r="J57" s="87" t="str">
        <f>IF(SUMIFS($S$10:$S$609,$P$10:$P$609,"C04E05")=0,"",IF(SUMIFS($T$10:$T$609,$P$10:$P$609,"C04E05")=0,"0%",SUMIFS($T$10:$T$609,$P$10:$P$609,"C04E05")/SUMIFS($S$10:$S$609,$P$10:$P$609,"C04E05")))</f>
        <v>0%</v>
      </c>
      <c r="N57" s="32" t="s">
        <v>309</v>
      </c>
      <c r="O57" s="32">
        <v>3</v>
      </c>
      <c r="P57" s="32" t="s">
        <v>299</v>
      </c>
      <c r="Q57" s="32" t="s">
        <v>310</v>
      </c>
      <c r="R57" s="32">
        <v>1</v>
      </c>
      <c r="S57" s="32">
        <f t="shared" si="0"/>
        <v>1</v>
      </c>
      <c r="T57" s="32">
        <f>--('Ch.3 - Calculer et compter'!I390="✓ Correct")</f>
        <v>0</v>
      </c>
      <c r="U57" s="32">
        <v>1</v>
      </c>
      <c r="V57" s="32">
        <v>0</v>
      </c>
      <c r="W57" s="32">
        <v>0</v>
      </c>
      <c r="X57" s="32">
        <v>0</v>
      </c>
      <c r="Y57" s="32">
        <v>0</v>
      </c>
      <c r="Z57" s="32" t="s">
        <v>311</v>
      </c>
      <c r="AA57" s="32" t="s">
        <v>190</v>
      </c>
    </row>
    <row r="58" spans="2:27" ht="33.950000000000003" customHeight="1">
      <c r="B58" s="35" t="s">
        <v>312</v>
      </c>
      <c r="C58" s="34" t="s">
        <v>313</v>
      </c>
      <c r="D58" s="36" t="s">
        <v>42</v>
      </c>
      <c r="E58" s="37" t="str">
        <f>IF(COUNTIFS($P$10:$P$609,"C04E06",$R$10:$R$609,1,$V$10:$V$609,1)&gt;0,"●","")</f>
        <v/>
      </c>
      <c r="F58" s="38" t="str">
        <f>IF(COUNTIFS($P$10:$P$609,"C04E06",$R$10:$R$609,1,$W$10:$W$609,1)&gt;0,"●","")</f>
        <v/>
      </c>
      <c r="G58" s="39" t="str">
        <f>IF(COUNTIFS($P$10:$P$609,"C04E06",$R$10:$R$609,1,$X$10:$X$609,1)&gt;0,"●","")</f>
        <v/>
      </c>
      <c r="H58" s="40" t="str">
        <f>IF(COUNTIFS($P$10:$P$609,"C04E06",$R$10:$R$609,1,$Y$10:$Y$609,1)&gt;0,"●","")</f>
        <v/>
      </c>
      <c r="I58" s="80" t="str">
        <f>IF(SUMIFS($S$10:$S$609,$P$10:$P$609,"C04E06")=0,"—",SUMIFS($T$10:$T$609,$P$10:$P$609,"C04E06")&amp;"/"&amp;SUMIFS($S$10:$S$609,$P$10:$P$609,"C04E06"))</f>
        <v>0/2</v>
      </c>
      <c r="J58" s="87" t="str">
        <f>IF(SUMIFS($S$10:$S$609,$P$10:$P$609,"C04E06")=0,"",IF(SUMIFS($T$10:$T$609,$P$10:$P$609,"C04E06")=0,"0%",SUMIFS($T$10:$T$609,$P$10:$P$609,"C04E06")/SUMIFS($S$10:$S$609,$P$10:$P$609,"C04E06")))</f>
        <v>0%</v>
      </c>
      <c r="N58" s="32" t="s">
        <v>314</v>
      </c>
      <c r="O58" s="32">
        <v>3</v>
      </c>
      <c r="P58" s="32" t="s">
        <v>299</v>
      </c>
      <c r="Q58" s="32" t="s">
        <v>315</v>
      </c>
      <c r="R58" s="32">
        <v>1</v>
      </c>
      <c r="S58" s="32">
        <f t="shared" si="0"/>
        <v>1</v>
      </c>
      <c r="T58" s="32">
        <f>--('Ch.3 - Calculer et compter'!I405="✓ Correct")</f>
        <v>0</v>
      </c>
      <c r="U58" s="32">
        <v>1</v>
      </c>
      <c r="V58" s="32">
        <v>0</v>
      </c>
      <c r="W58" s="32">
        <v>0</v>
      </c>
      <c r="X58" s="32">
        <v>0</v>
      </c>
      <c r="Y58" s="32">
        <v>0</v>
      </c>
      <c r="Z58" s="32" t="s">
        <v>316</v>
      </c>
      <c r="AA58" s="32" t="s">
        <v>190</v>
      </c>
    </row>
    <row r="59" spans="2:27" ht="33.950000000000003" customHeight="1">
      <c r="B59" s="35" t="s">
        <v>317</v>
      </c>
      <c r="C59" s="34" t="s">
        <v>318</v>
      </c>
      <c r="D59" s="36" t="s">
        <v>42</v>
      </c>
      <c r="E59" s="37" t="str">
        <f>IF(COUNTIFS($P$10:$P$609,"C04E07",$R$10:$R$609,1,$V$10:$V$609,1)&gt;0,"●","")</f>
        <v/>
      </c>
      <c r="F59" s="38" t="str">
        <f>IF(COUNTIFS($P$10:$P$609,"C04E07",$R$10:$R$609,1,$W$10:$W$609,1)&gt;0,"●","")</f>
        <v/>
      </c>
      <c r="G59" s="39" t="str">
        <f>IF(COUNTIFS($P$10:$P$609,"C04E07",$R$10:$R$609,1,$X$10:$X$609,1)&gt;0,"●","")</f>
        <v/>
      </c>
      <c r="H59" s="40" t="str">
        <f>IF(COUNTIFS($P$10:$P$609,"C04E07",$R$10:$R$609,1,$Y$10:$Y$609,1)&gt;0,"●","")</f>
        <v/>
      </c>
      <c r="I59" s="80" t="str">
        <f>IF(SUMIFS($S$10:$S$609,$P$10:$P$609,"C04E07")=0,"—",SUMIFS($T$10:$T$609,$P$10:$P$609,"C04E07")&amp;"/"&amp;SUMIFS($S$10:$S$609,$P$10:$P$609,"C04E07"))</f>
        <v>0/2</v>
      </c>
      <c r="J59" s="87" t="str">
        <f>IF(SUMIFS($S$10:$S$609,$P$10:$P$609,"C04E07")=0,"",IF(SUMIFS($T$10:$T$609,$P$10:$P$609,"C04E07")=0,"0%",SUMIFS($T$10:$T$609,$P$10:$P$609,"C04E07")/SUMIFS($S$10:$S$609,$P$10:$P$609,"C04E07")))</f>
        <v>0%</v>
      </c>
      <c r="N59" s="32" t="s">
        <v>319</v>
      </c>
      <c r="O59" s="32">
        <v>3</v>
      </c>
      <c r="P59" s="32" t="s">
        <v>320</v>
      </c>
      <c r="Q59" s="32" t="s">
        <v>321</v>
      </c>
      <c r="R59" s="32">
        <v>1</v>
      </c>
      <c r="S59" s="32">
        <f t="shared" si="0"/>
        <v>1</v>
      </c>
      <c r="T59" s="32">
        <f>--('Ch.3 - Calculer et compter'!I420="✓ Correct")</f>
        <v>0</v>
      </c>
      <c r="U59" s="32">
        <v>1</v>
      </c>
      <c r="V59" s="32">
        <v>0</v>
      </c>
      <c r="W59" s="32">
        <v>0</v>
      </c>
      <c r="X59" s="32">
        <v>0</v>
      </c>
      <c r="Y59" s="32">
        <v>0</v>
      </c>
      <c r="Z59" s="32" t="s">
        <v>322</v>
      </c>
      <c r="AA59" s="32" t="s">
        <v>190</v>
      </c>
    </row>
    <row r="60" spans="2:27" ht="33.950000000000003" customHeight="1">
      <c r="B60" s="35" t="s">
        <v>323</v>
      </c>
      <c r="C60" s="34" t="s">
        <v>324</v>
      </c>
      <c r="D60" s="36" t="s">
        <v>42</v>
      </c>
      <c r="E60" s="37" t="str">
        <f>IF(COUNTIFS($P$10:$P$609,"C04E08",$R$10:$R$609,1,$V$10:$V$609,1)&gt;0,"●","")</f>
        <v/>
      </c>
      <c r="F60" s="38" t="str">
        <f>IF(COUNTIFS($P$10:$P$609,"C04E08",$R$10:$R$609,1,$W$10:$W$609,1)&gt;0,"●","")</f>
        <v/>
      </c>
      <c r="G60" s="39" t="str">
        <f>IF(COUNTIFS($P$10:$P$609,"C04E08",$R$10:$R$609,1,$X$10:$X$609,1)&gt;0,"●","")</f>
        <v/>
      </c>
      <c r="H60" s="40" t="str">
        <f>IF(COUNTIFS($P$10:$P$609,"C04E08",$R$10:$R$609,1,$Y$10:$Y$609,1)&gt;0,"●","")</f>
        <v/>
      </c>
      <c r="I60" s="80" t="str">
        <f>IF(SUMIFS($S$10:$S$609,$P$10:$P$609,"C04E08")=0,"—",SUMIFS($T$10:$T$609,$P$10:$P$609,"C04E08")&amp;"/"&amp;SUMIFS($S$10:$S$609,$P$10:$P$609,"C04E08"))</f>
        <v>0/2</v>
      </c>
      <c r="J60" s="87" t="str">
        <f>IF(SUMIFS($S$10:$S$609,$P$10:$P$609,"C04E08")=0,"",IF(SUMIFS($T$10:$T$609,$P$10:$P$609,"C04E08")=0,"0%",SUMIFS($T$10:$T$609,$P$10:$P$609,"C04E08")/SUMIFS($S$10:$S$609,$P$10:$P$609,"C04E08")))</f>
        <v>0%</v>
      </c>
      <c r="N60" s="32" t="s">
        <v>325</v>
      </c>
      <c r="O60" s="32">
        <v>3</v>
      </c>
      <c r="P60" s="32" t="s">
        <v>320</v>
      </c>
      <c r="Q60" s="32" t="s">
        <v>326</v>
      </c>
      <c r="R60" s="32">
        <v>1</v>
      </c>
      <c r="S60" s="32">
        <f t="shared" si="0"/>
        <v>1</v>
      </c>
      <c r="T60" s="32">
        <f>--('Ch.3 - Calculer et compter'!I434="✓ Correct")</f>
        <v>0</v>
      </c>
      <c r="U60" s="32">
        <v>1</v>
      </c>
      <c r="V60" s="32">
        <v>0</v>
      </c>
      <c r="W60" s="32">
        <v>0</v>
      </c>
      <c r="X60" s="32">
        <v>0</v>
      </c>
      <c r="Y60" s="32">
        <v>0</v>
      </c>
      <c r="Z60" s="32" t="s">
        <v>327</v>
      </c>
      <c r="AA60" s="32" t="s">
        <v>190</v>
      </c>
    </row>
    <row r="61" spans="2:27" ht="33.950000000000003" customHeight="1">
      <c r="B61" s="35" t="s">
        <v>328</v>
      </c>
      <c r="C61" s="34" t="s">
        <v>329</v>
      </c>
      <c r="D61" s="36"/>
      <c r="E61" s="37" t="str">
        <f>IF(COUNTIFS($P$10:$P$609,"C04E09",$R$10:$R$609,1,$V$10:$V$609,1)&gt;0,"●","")</f>
        <v>●</v>
      </c>
      <c r="F61" s="38" t="str">
        <f>IF(COUNTIFS($P$10:$P$609,"C04E09",$R$10:$R$609,1,$W$10:$W$609,1)&gt;0,"●","")</f>
        <v/>
      </c>
      <c r="G61" s="39" t="str">
        <f>IF(COUNTIFS($P$10:$P$609,"C04E09",$R$10:$R$609,1,$X$10:$X$609,1)&gt;0,"●","")</f>
        <v/>
      </c>
      <c r="H61" s="40" t="str">
        <f>IF(COUNTIFS($P$10:$P$609,"C04E09",$R$10:$R$609,1,$Y$10:$Y$609,1)&gt;0,"●","")</f>
        <v/>
      </c>
      <c r="I61" s="80" t="str">
        <f>IF(SUMIFS($S$10:$S$609,$P$10:$P$609,"C04E09")=0,"—",SUMIFS($T$10:$T$609,$P$10:$P$609,"C04E09")&amp;"/"&amp;SUMIFS($S$10:$S$609,$P$10:$P$609,"C04E09"))</f>
        <v>0/2</v>
      </c>
      <c r="J61" s="87" t="str">
        <f>IF(SUMIFS($S$10:$S$609,$P$10:$P$609,"C04E09")=0,"",IF(SUMIFS($T$10:$T$609,$P$10:$P$609,"C04E09")=0,"0%",SUMIFS($T$10:$T$609,$P$10:$P$609,"C04E09")/SUMIFS($S$10:$S$609,$P$10:$P$609,"C04E09")))</f>
        <v>0%</v>
      </c>
      <c r="N61" s="32" t="s">
        <v>330</v>
      </c>
      <c r="O61" s="32">
        <v>3</v>
      </c>
      <c r="P61" s="32" t="s">
        <v>320</v>
      </c>
      <c r="Q61" s="32" t="s">
        <v>331</v>
      </c>
      <c r="R61" s="32">
        <v>1</v>
      </c>
      <c r="S61" s="32">
        <f t="shared" si="0"/>
        <v>1</v>
      </c>
      <c r="T61" s="32">
        <f>--('Ch.3 - Calculer et compter'!I449="✓ Correct")</f>
        <v>0</v>
      </c>
      <c r="U61" s="32">
        <v>1</v>
      </c>
      <c r="V61" s="32">
        <v>0</v>
      </c>
      <c r="W61" s="32">
        <v>0</v>
      </c>
      <c r="X61" s="32">
        <v>0</v>
      </c>
      <c r="Y61" s="32">
        <v>0</v>
      </c>
      <c r="Z61" s="32" t="s">
        <v>332</v>
      </c>
      <c r="AA61" s="32" t="s">
        <v>190</v>
      </c>
    </row>
    <row r="62" spans="2:27" ht="33.950000000000003" customHeight="1">
      <c r="B62" s="35" t="s">
        <v>333</v>
      </c>
      <c r="C62" s="34" t="s">
        <v>334</v>
      </c>
      <c r="D62" s="36" t="s">
        <v>42</v>
      </c>
      <c r="E62" s="37" t="str">
        <f>IF(COUNTIFS($P$10:$P$609,"C04E10",$R$10:$R$609,1,$V$10:$V$609,1)&gt;0,"●","")</f>
        <v/>
      </c>
      <c r="F62" s="38" t="str">
        <f>IF(COUNTIFS($P$10:$P$609,"C04E10",$R$10:$R$609,1,$W$10:$W$609,1)&gt;0,"●","")</f>
        <v/>
      </c>
      <c r="G62" s="39" t="str">
        <f>IF(COUNTIFS($P$10:$P$609,"C04E10",$R$10:$R$609,1,$X$10:$X$609,1)&gt;0,"●","")</f>
        <v/>
      </c>
      <c r="H62" s="40" t="str">
        <f>IF(COUNTIFS($P$10:$P$609,"C04E10",$R$10:$R$609,1,$Y$10:$Y$609,1)&gt;0,"●","")</f>
        <v/>
      </c>
      <c r="I62" s="80" t="str">
        <f>IF(SUMIFS($S$10:$S$609,$P$10:$P$609,"C04E10")=0,"—",SUMIFS($T$10:$T$609,$P$10:$P$609,"C04E10")&amp;"/"&amp;SUMIFS($S$10:$S$609,$P$10:$P$609,"C04E10"))</f>
        <v>0/2</v>
      </c>
      <c r="J62" s="87" t="str">
        <f>IF(SUMIFS($S$10:$S$609,$P$10:$P$609,"C04E10")=0,"",IF(SUMIFS($T$10:$T$609,$P$10:$P$609,"C04E10")=0,"0%",SUMIFS($T$10:$T$609,$P$10:$P$609,"C04E10")/SUMIFS($S$10:$S$609,$P$10:$P$609,"C04E10")))</f>
        <v>0%</v>
      </c>
      <c r="N62" s="32" t="s">
        <v>335</v>
      </c>
      <c r="O62" s="32">
        <v>3</v>
      </c>
      <c r="P62" s="32" t="s">
        <v>336</v>
      </c>
      <c r="Q62" s="32" t="s">
        <v>337</v>
      </c>
      <c r="R62" s="32">
        <v>1</v>
      </c>
      <c r="S62" s="32">
        <f t="shared" si="0"/>
        <v>1</v>
      </c>
      <c r="T62" s="32">
        <f>--('Ch.3 - Calculer et compter'!I466="✓ Correct")</f>
        <v>0</v>
      </c>
      <c r="U62" s="32">
        <v>1</v>
      </c>
      <c r="V62" s="32">
        <v>0</v>
      </c>
      <c r="W62" s="32">
        <v>0</v>
      </c>
      <c r="X62" s="32">
        <v>0</v>
      </c>
      <c r="Y62" s="32">
        <v>0</v>
      </c>
      <c r="Z62" s="32" t="s">
        <v>338</v>
      </c>
      <c r="AA62" s="32" t="s">
        <v>190</v>
      </c>
    </row>
    <row r="63" spans="2:27" ht="33.950000000000003" customHeight="1">
      <c r="B63" s="35" t="s">
        <v>339</v>
      </c>
      <c r="C63" s="34" t="s">
        <v>340</v>
      </c>
      <c r="D63" s="36" t="s">
        <v>42</v>
      </c>
      <c r="E63" s="37" t="str">
        <f>IF(COUNTIFS($P$10:$P$609,"C04E11",$R$10:$R$609,1,$V$10:$V$609,1)&gt;0,"●","")</f>
        <v/>
      </c>
      <c r="F63" s="38" t="str">
        <f>IF(COUNTIFS($P$10:$P$609,"C04E11",$R$10:$R$609,1,$W$10:$W$609,1)&gt;0,"●","")</f>
        <v/>
      </c>
      <c r="G63" s="39" t="str">
        <f>IF(COUNTIFS($P$10:$P$609,"C04E11",$R$10:$R$609,1,$X$10:$X$609,1)&gt;0,"●","")</f>
        <v/>
      </c>
      <c r="H63" s="40" t="str">
        <f>IF(COUNTIFS($P$10:$P$609,"C04E11",$R$10:$R$609,1,$Y$10:$Y$609,1)&gt;0,"●","")</f>
        <v/>
      </c>
      <c r="I63" s="80" t="str">
        <f>IF(SUMIFS($S$10:$S$609,$P$10:$P$609,"C04E11")=0,"—",SUMIFS($T$10:$T$609,$P$10:$P$609,"C04E11")&amp;"/"&amp;SUMIFS($S$10:$S$609,$P$10:$P$609,"C04E11"))</f>
        <v>0/1</v>
      </c>
      <c r="J63" s="87" t="str">
        <f>IF(SUMIFS($S$10:$S$609,$P$10:$P$609,"C04E11")=0,"",IF(SUMIFS($T$10:$T$609,$P$10:$P$609,"C04E11")=0,"0%",SUMIFS($T$10:$T$609,$P$10:$P$609,"C04E11")/SUMIFS($S$10:$S$609,$P$10:$P$609,"C04E11")))</f>
        <v>0%</v>
      </c>
      <c r="N63" s="32" t="s">
        <v>341</v>
      </c>
      <c r="O63" s="32">
        <v>3</v>
      </c>
      <c r="P63" s="32" t="s">
        <v>336</v>
      </c>
      <c r="Q63" s="32" t="s">
        <v>342</v>
      </c>
      <c r="R63" s="32">
        <v>1</v>
      </c>
      <c r="S63" s="32">
        <f t="shared" si="0"/>
        <v>1</v>
      </c>
      <c r="T63" s="32">
        <f>--('Ch.3 - Calculer et compter'!I481="✓ Correct")</f>
        <v>0</v>
      </c>
      <c r="U63" s="32">
        <v>1</v>
      </c>
      <c r="V63" s="32">
        <v>0</v>
      </c>
      <c r="W63" s="32">
        <v>0</v>
      </c>
      <c r="X63" s="32">
        <v>0</v>
      </c>
      <c r="Y63" s="32">
        <v>0</v>
      </c>
      <c r="Z63" s="32" t="s">
        <v>343</v>
      </c>
      <c r="AA63" s="32" t="s">
        <v>190</v>
      </c>
    </row>
    <row r="64" spans="2:27">
      <c r="I64" s="85"/>
      <c r="J64" s="125"/>
      <c r="N64" s="32"/>
      <c r="O64" s="32">
        <v>4</v>
      </c>
      <c r="P64" s="32" t="s">
        <v>344</v>
      </c>
      <c r="Q64" s="32" t="s">
        <v>345</v>
      </c>
      <c r="R64" s="32">
        <v>1</v>
      </c>
      <c r="S64" s="32">
        <f t="shared" si="0"/>
        <v>1</v>
      </c>
      <c r="T64" s="32">
        <f>--('Ch.4 - Tester conditions'!I30="✓ Correct")</f>
        <v>0</v>
      </c>
      <c r="U64" s="32">
        <v>1</v>
      </c>
      <c r="V64" s="32">
        <v>0</v>
      </c>
      <c r="W64" s="32">
        <v>0</v>
      </c>
      <c r="X64" s="32">
        <v>0</v>
      </c>
      <c r="Y64" s="32">
        <v>0</v>
      </c>
      <c r="Z64" s="32"/>
      <c r="AA64" s="32"/>
    </row>
    <row r="65" spans="2:27" ht="21.95" customHeight="1">
      <c r="B65" s="33" t="s">
        <v>346</v>
      </c>
      <c r="C65" s="96"/>
      <c r="D65" s="96"/>
      <c r="E65" s="96"/>
      <c r="F65" s="96"/>
      <c r="G65" s="96"/>
      <c r="H65" s="96"/>
      <c r="I65" s="83" t="str">
        <f>IF(SUMIFS($S$10:$S$609,$O$10:$O$609,5)=0,"—",SUMIFS($T$10:$T$609,$O$10:$O$609,5)&amp;"/"&amp;SUMIFS($S$10:$S$609,$O$10:$O$609,5))</f>
        <v>0/25</v>
      </c>
      <c r="J65" s="97" t="str">
        <f>IF(SUMIFS($S$10:$S$609,$O$10:$O$609,5)=0,"",IF(SUMIFS($T$10:$T$609,$O$10:$O$609,5)=0,"0%",SUMIFS($T$10:$T$609,$O$10:$O$609,5)/SUMIFS($S$10:$S$609,$O$10:$O$609,5)))</f>
        <v>0%</v>
      </c>
      <c r="N65" s="32"/>
      <c r="O65" s="32">
        <v>4</v>
      </c>
      <c r="P65" s="32" t="s">
        <v>344</v>
      </c>
      <c r="Q65" s="32" t="s">
        <v>347</v>
      </c>
      <c r="R65" s="32">
        <v>1</v>
      </c>
      <c r="S65" s="32">
        <f t="shared" si="0"/>
        <v>1</v>
      </c>
      <c r="T65" s="32">
        <f>--('Ch.4 - Tester conditions'!I42="✓ Correct")</f>
        <v>0</v>
      </c>
      <c r="U65" s="32">
        <v>1</v>
      </c>
      <c r="V65" s="32">
        <v>0</v>
      </c>
      <c r="W65" s="32">
        <v>0</v>
      </c>
      <c r="X65" s="32">
        <v>0</v>
      </c>
      <c r="Y65" s="32">
        <v>0</v>
      </c>
      <c r="Z65" s="32"/>
      <c r="AA65" s="32"/>
    </row>
    <row r="66" spans="2:27" ht="33.950000000000003" customHeight="1">
      <c r="B66" s="35" t="s">
        <v>348</v>
      </c>
      <c r="C66" s="34" t="s">
        <v>349</v>
      </c>
      <c r="D66" s="36" t="s">
        <v>42</v>
      </c>
      <c r="E66" s="37" t="str">
        <f>IF(COUNTIFS($P$10:$P$609,"C05E01",$R$10:$R$609,1,$V$10:$V$609,1)&gt;0,"●","")</f>
        <v/>
      </c>
      <c r="F66" s="38" t="str">
        <f>IF(COUNTIFS($P$10:$P$609,"C05E01",$R$10:$R$609,1,$W$10:$W$609,1)&gt;0,"●","")</f>
        <v/>
      </c>
      <c r="G66" s="39" t="str">
        <f>IF(COUNTIFS($P$10:$P$609,"C05E01",$R$10:$R$609,1,$X$10:$X$609,1)&gt;0,"●","")</f>
        <v/>
      </c>
      <c r="H66" s="40" t="str">
        <f>IF(COUNTIFS($P$10:$P$609,"C05E01",$R$10:$R$609,1,$Y$10:$Y$609,1)&gt;0,"●","")</f>
        <v/>
      </c>
      <c r="I66" s="92" t="str">
        <f>IF(SUMIFS($S$10:$S$609,$P$10:$P$609,"C05E01")=0,"—",SUMIFS($T$10:$T$609,$P$10:$P$609,"C05E01")&amp;"/"&amp;SUMIFS($S$10:$S$609,$P$10:$P$609,"C05E01"))</f>
        <v>0/2</v>
      </c>
      <c r="J66" s="91" t="str">
        <f>IF(SUMIFS($S$10:$S$609,$P$10:$P$609,"C05E01")=0,"",IF(SUMIFS($T$10:$T$609,$P$10:$P$609,"C05E01")=0,"0%",SUMIFS($T$10:$T$609,$P$10:$P$609,"C05E01")/SUMIFS($S$10:$S$609,$P$10:$P$609,"C05E01")))</f>
        <v>0%</v>
      </c>
      <c r="N66" s="32"/>
      <c r="O66" s="32">
        <v>4</v>
      </c>
      <c r="P66" s="32" t="s">
        <v>344</v>
      </c>
      <c r="Q66" s="32" t="s">
        <v>350</v>
      </c>
      <c r="R66" s="32">
        <v>1</v>
      </c>
      <c r="S66" s="32">
        <f t="shared" si="0"/>
        <v>1</v>
      </c>
      <c r="T66" s="32">
        <f>--('Ch.4 - Tester conditions'!I53="✓ Correct")</f>
        <v>0</v>
      </c>
      <c r="U66" s="32">
        <v>1</v>
      </c>
      <c r="V66" s="32">
        <v>0</v>
      </c>
      <c r="W66" s="32">
        <v>0</v>
      </c>
      <c r="X66" s="32">
        <v>0</v>
      </c>
      <c r="Y66" s="32">
        <v>0</v>
      </c>
      <c r="Z66" s="32"/>
      <c r="AA66" s="32"/>
    </row>
    <row r="67" spans="2:27" ht="33.950000000000003" customHeight="1">
      <c r="B67" s="35" t="s">
        <v>351</v>
      </c>
      <c r="C67" s="34" t="s">
        <v>352</v>
      </c>
      <c r="D67" s="36" t="s">
        <v>42</v>
      </c>
      <c r="E67" s="37" t="str">
        <f>IF(COUNTIFS($P$10:$P$609,"C05E02",$R$10:$R$609,1,$V$10:$V$609,1)&gt;0,"●","")</f>
        <v/>
      </c>
      <c r="F67" s="38" t="str">
        <f>IF(COUNTIFS($P$10:$P$609,"C05E02",$R$10:$R$609,1,$W$10:$W$609,1)&gt;0,"●","")</f>
        <v/>
      </c>
      <c r="G67" s="39" t="str">
        <f>IF(COUNTIFS($P$10:$P$609,"C05E02",$R$10:$R$609,1,$X$10:$X$609,1)&gt;0,"●","")</f>
        <v/>
      </c>
      <c r="H67" s="40" t="str">
        <f>IF(COUNTIFS($P$10:$P$609,"C05E02",$R$10:$R$609,1,$Y$10:$Y$609,1)&gt;0,"●","")</f>
        <v/>
      </c>
      <c r="I67" s="80" t="str">
        <f>IF(SUMIFS($S$10:$S$609,$P$10:$P$609,"C05E02")=0,"—",SUMIFS($T$10:$T$609,$P$10:$P$609,"C05E02")&amp;"/"&amp;SUMIFS($S$10:$S$609,$P$10:$P$609,"C05E02"))</f>
        <v>0/2</v>
      </c>
      <c r="J67" s="87" t="str">
        <f>IF(SUMIFS($S$10:$S$609,$P$10:$P$609,"C05E02")=0,"",IF(SUMIFS($T$10:$T$609,$P$10:$P$609,"C05E02")=0,"0%",SUMIFS($T$10:$T$609,$P$10:$P$609,"C05E02")/SUMIFS($S$10:$S$609,$P$10:$P$609,"C05E02")))</f>
        <v>0%</v>
      </c>
      <c r="N67" s="32"/>
      <c r="O67" s="32">
        <v>4</v>
      </c>
      <c r="P67" s="32" t="s">
        <v>353</v>
      </c>
      <c r="Q67" s="32" t="s">
        <v>354</v>
      </c>
      <c r="R67" s="32">
        <v>1</v>
      </c>
      <c r="S67" s="32">
        <f t="shared" si="0"/>
        <v>1</v>
      </c>
      <c r="T67" s="32">
        <f>--('Ch.4 - Tester conditions'!I67="✓ Correct")</f>
        <v>0</v>
      </c>
      <c r="U67" s="32">
        <v>1</v>
      </c>
      <c r="V67" s="32">
        <v>0</v>
      </c>
      <c r="W67" s="32">
        <v>0</v>
      </c>
      <c r="X67" s="32">
        <v>0</v>
      </c>
      <c r="Y67" s="32">
        <v>0</v>
      </c>
      <c r="Z67" s="32"/>
      <c r="AA67" s="32"/>
    </row>
    <row r="68" spans="2:27" ht="33.950000000000003" customHeight="1">
      <c r="B68" s="35" t="s">
        <v>355</v>
      </c>
      <c r="C68" s="34" t="s">
        <v>356</v>
      </c>
      <c r="D68" s="36" t="s">
        <v>42</v>
      </c>
      <c r="E68" s="37" t="str">
        <f>IF(COUNTIFS($P$10:$P$609,"C05E03",$R$10:$R$609,1,$V$10:$V$609,1)&gt;0,"●","")</f>
        <v/>
      </c>
      <c r="F68" s="38" t="str">
        <f>IF(COUNTIFS($P$10:$P$609,"C05E03",$R$10:$R$609,1,$W$10:$W$609,1)&gt;0,"●","")</f>
        <v/>
      </c>
      <c r="G68" s="39" t="str">
        <f>IF(COUNTIFS($P$10:$P$609,"C05E03",$R$10:$R$609,1,$X$10:$X$609,1)&gt;0,"●","")</f>
        <v/>
      </c>
      <c r="H68" s="40" t="str">
        <f>IF(COUNTIFS($P$10:$P$609,"C05E03",$R$10:$R$609,1,$Y$10:$Y$609,1)&gt;0,"●","")</f>
        <v/>
      </c>
      <c r="I68" s="80" t="str">
        <f>IF(SUMIFS($S$10:$S$609,$P$10:$P$609,"C05E03")=0,"—",SUMIFS($T$10:$T$609,$P$10:$P$609,"C05E03")&amp;"/"&amp;SUMIFS($S$10:$S$609,$P$10:$P$609,"C05E03"))</f>
        <v>0/2</v>
      </c>
      <c r="J68" s="87" t="str">
        <f>IF(SUMIFS($S$10:$S$609,$P$10:$P$609,"C05E03")=0,"",IF(SUMIFS($T$10:$T$609,$P$10:$P$609,"C05E03")=0,"0%",SUMIFS($T$10:$T$609,$P$10:$P$609,"C05E03")/SUMIFS($S$10:$S$609,$P$10:$P$609,"C05E03")))</f>
        <v>0%</v>
      </c>
      <c r="N68" s="32"/>
      <c r="O68" s="32">
        <v>4</v>
      </c>
      <c r="P68" s="32" t="s">
        <v>353</v>
      </c>
      <c r="Q68" s="32" t="s">
        <v>357</v>
      </c>
      <c r="R68" s="32">
        <v>1</v>
      </c>
      <c r="S68" s="32">
        <f t="shared" si="0"/>
        <v>1</v>
      </c>
      <c r="T68" s="32">
        <f>--('Ch.4 - Tester conditions'!I79="✓ Correct")</f>
        <v>0</v>
      </c>
      <c r="U68" s="32">
        <v>1</v>
      </c>
      <c r="V68" s="32">
        <v>0</v>
      </c>
      <c r="W68" s="32">
        <v>0</v>
      </c>
      <c r="X68" s="32">
        <v>0</v>
      </c>
      <c r="Y68" s="32">
        <v>0</v>
      </c>
      <c r="Z68" s="32"/>
      <c r="AA68" s="32"/>
    </row>
    <row r="69" spans="2:27" ht="33.950000000000003" customHeight="1">
      <c r="B69" s="35" t="s">
        <v>358</v>
      </c>
      <c r="C69" s="34" t="s">
        <v>359</v>
      </c>
      <c r="D69" s="36" t="s">
        <v>42</v>
      </c>
      <c r="E69" s="37" t="str">
        <f>IF(COUNTIFS($P$10:$P$609,"C05E04",$R$10:$R$609,1,$V$10:$V$609,1)&gt;0,"●","")</f>
        <v/>
      </c>
      <c r="F69" s="38" t="str">
        <f>IF(COUNTIFS($P$10:$P$609,"C05E04",$R$10:$R$609,1,$W$10:$W$609,1)&gt;0,"●","")</f>
        <v/>
      </c>
      <c r="G69" s="39" t="str">
        <f>IF(COUNTIFS($P$10:$P$609,"C05E04",$R$10:$R$609,1,$X$10:$X$609,1)&gt;0,"●","")</f>
        <v/>
      </c>
      <c r="H69" s="40" t="str">
        <f>IF(COUNTIFS($P$10:$P$609,"C05E04",$R$10:$R$609,1,$Y$10:$Y$609,1)&gt;0,"●","")</f>
        <v/>
      </c>
      <c r="I69" s="80" t="str">
        <f>IF(SUMIFS($S$10:$S$609,$P$10:$P$609,"C05E04")=0,"—",SUMIFS($T$10:$T$609,$P$10:$P$609,"C05E04")&amp;"/"&amp;SUMIFS($S$10:$S$609,$P$10:$P$609,"C05E04"))</f>
        <v>0/2</v>
      </c>
      <c r="J69" s="87" t="str">
        <f>IF(SUMIFS($S$10:$S$609,$P$10:$P$609,"C05E04")=0,"",IF(SUMIFS($T$10:$T$609,$P$10:$P$609,"C05E04")=0,"0%",SUMIFS($T$10:$T$609,$P$10:$P$609,"C05E04")/SUMIFS($S$10:$S$609,$P$10:$P$609,"C05E04")))</f>
        <v>0%</v>
      </c>
      <c r="N69" s="32"/>
      <c r="O69" s="32">
        <v>4</v>
      </c>
      <c r="P69" s="32" t="s">
        <v>353</v>
      </c>
      <c r="Q69" s="32" t="s">
        <v>360</v>
      </c>
      <c r="R69" s="32">
        <v>1</v>
      </c>
      <c r="S69" s="32">
        <f t="shared" si="0"/>
        <v>1</v>
      </c>
      <c r="T69" s="32">
        <f>--('Ch.4 - Tester conditions'!I90="✓ Correct")</f>
        <v>0</v>
      </c>
      <c r="U69" s="32">
        <v>1</v>
      </c>
      <c r="V69" s="32">
        <v>0</v>
      </c>
      <c r="W69" s="32">
        <v>0</v>
      </c>
      <c r="X69" s="32">
        <v>0</v>
      </c>
      <c r="Y69" s="32">
        <v>0</v>
      </c>
      <c r="Z69" s="32"/>
      <c r="AA69" s="32"/>
    </row>
    <row r="70" spans="2:27" ht="33.950000000000003" customHeight="1">
      <c r="B70" s="35" t="s">
        <v>361</v>
      </c>
      <c r="C70" s="34" t="s">
        <v>362</v>
      </c>
      <c r="D70" s="36" t="s">
        <v>42</v>
      </c>
      <c r="E70" s="37" t="str">
        <f>IF(COUNTIFS($P$10:$P$609,"C05E05",$R$10:$R$609,1,$V$10:$V$609,1)&gt;0,"●","")</f>
        <v/>
      </c>
      <c r="F70" s="38" t="str">
        <f>IF(COUNTIFS($P$10:$P$609,"C05E05",$R$10:$R$609,1,$W$10:$W$609,1)&gt;0,"●","")</f>
        <v/>
      </c>
      <c r="G70" s="39" t="str">
        <f>IF(COUNTIFS($P$10:$P$609,"C05E05",$R$10:$R$609,1,$X$10:$X$609,1)&gt;0,"●","")</f>
        <v/>
      </c>
      <c r="H70" s="40" t="str">
        <f>IF(COUNTIFS($P$10:$P$609,"C05E05",$R$10:$R$609,1,$Y$10:$Y$609,1)&gt;0,"●","")</f>
        <v/>
      </c>
      <c r="I70" s="80" t="str">
        <f>IF(SUMIFS($S$10:$S$609,$P$10:$P$609,"C05E05")=0,"—",SUMIFS($T$10:$T$609,$P$10:$P$609,"C05E05")&amp;"/"&amp;SUMIFS($S$10:$S$609,$P$10:$P$609,"C05E05"))</f>
        <v>0/2</v>
      </c>
      <c r="J70" s="87" t="str">
        <f>IF(SUMIFS($S$10:$S$609,$P$10:$P$609,"C05E05")=0,"",IF(SUMIFS($T$10:$T$609,$P$10:$P$609,"C05E05")=0,"0%",SUMIFS($T$10:$T$609,$P$10:$P$609,"C05E05")/SUMIFS($S$10:$S$609,$P$10:$P$609,"C05E05")))</f>
        <v>0%</v>
      </c>
      <c r="N70" s="32"/>
      <c r="O70" s="32">
        <v>4</v>
      </c>
      <c r="P70" s="32" t="s">
        <v>363</v>
      </c>
      <c r="Q70" s="32" t="s">
        <v>364</v>
      </c>
      <c r="R70" s="32">
        <v>1</v>
      </c>
      <c r="S70" s="32">
        <f t="shared" si="0"/>
        <v>1</v>
      </c>
      <c r="T70" s="32">
        <f>--('Ch.4 - Tester conditions'!I104="✓ Correct")</f>
        <v>0</v>
      </c>
      <c r="U70" s="32">
        <v>1</v>
      </c>
      <c r="V70" s="32">
        <v>0</v>
      </c>
      <c r="W70" s="32">
        <v>0</v>
      </c>
      <c r="X70" s="32">
        <v>0</v>
      </c>
      <c r="Y70" s="32">
        <v>0</v>
      </c>
      <c r="Z70" s="32"/>
      <c r="AA70" s="32"/>
    </row>
    <row r="71" spans="2:27" ht="33.950000000000003" customHeight="1">
      <c r="B71" s="35" t="s">
        <v>365</v>
      </c>
      <c r="C71" s="34" t="s">
        <v>366</v>
      </c>
      <c r="D71" s="36" t="s">
        <v>42</v>
      </c>
      <c r="E71" s="37" t="str">
        <f>IF(COUNTIFS($P$10:$P$609,"C05E06",$R$10:$R$609,1,$V$10:$V$609,1)&gt;0,"●","")</f>
        <v/>
      </c>
      <c r="F71" s="38" t="str">
        <f>IF(COUNTIFS($P$10:$P$609,"C05E06",$R$10:$R$609,1,$W$10:$W$609,1)&gt;0,"●","")</f>
        <v/>
      </c>
      <c r="G71" s="39" t="str">
        <f>IF(COUNTIFS($P$10:$P$609,"C05E06",$R$10:$R$609,1,$X$10:$X$609,1)&gt;0,"●","")</f>
        <v/>
      </c>
      <c r="H71" s="40" t="str">
        <f>IF(COUNTIFS($P$10:$P$609,"C05E06",$R$10:$R$609,1,$Y$10:$Y$609,1)&gt;0,"●","")</f>
        <v/>
      </c>
      <c r="I71" s="80" t="str">
        <f>IF(SUMIFS($S$10:$S$609,$P$10:$P$609,"C05E06")=0,"—",SUMIFS($T$10:$T$609,$P$10:$P$609,"C05E06")&amp;"/"&amp;SUMIFS($S$10:$S$609,$P$10:$P$609,"C05E06"))</f>
        <v>0/1</v>
      </c>
      <c r="J71" s="87" t="str">
        <f>IF(SUMIFS($S$10:$S$609,$P$10:$P$609,"C05E06")=0,"",IF(SUMIFS($T$10:$T$609,$P$10:$P$609,"C05E06")=0,"0%",SUMIFS($T$10:$T$609,$P$10:$P$609,"C05E06")/SUMIFS($S$10:$S$609,$P$10:$P$609,"C05E06")))</f>
        <v>0%</v>
      </c>
      <c r="N71" s="32"/>
      <c r="O71" s="32">
        <v>4</v>
      </c>
      <c r="P71" s="32" t="s">
        <v>363</v>
      </c>
      <c r="Q71" s="32" t="s">
        <v>367</v>
      </c>
      <c r="R71" s="32">
        <v>1</v>
      </c>
      <c r="S71" s="32">
        <f t="shared" si="0"/>
        <v>1</v>
      </c>
      <c r="T71" s="32">
        <f>--('Ch.4 - Tester conditions'!I116="✓ Correct")</f>
        <v>0</v>
      </c>
      <c r="U71" s="32">
        <v>1</v>
      </c>
      <c r="V71" s="32">
        <v>0</v>
      </c>
      <c r="W71" s="32">
        <v>0</v>
      </c>
      <c r="X71" s="32">
        <v>0</v>
      </c>
      <c r="Y71" s="32">
        <v>0</v>
      </c>
      <c r="Z71" s="32"/>
      <c r="AA71" s="32"/>
    </row>
    <row r="72" spans="2:27" ht="33.950000000000003" customHeight="1">
      <c r="B72" s="35" t="s">
        <v>368</v>
      </c>
      <c r="C72" s="34" t="s">
        <v>369</v>
      </c>
      <c r="D72" s="36" t="s">
        <v>42</v>
      </c>
      <c r="E72" s="37" t="str">
        <f>IF(COUNTIFS($P$10:$P$609,"C05E07",$R$10:$R$609,1,$V$10:$V$609,1)&gt;0,"●","")</f>
        <v/>
      </c>
      <c r="F72" s="38" t="str">
        <f>IF(COUNTIFS($P$10:$P$609,"C05E07",$R$10:$R$609,1,$W$10:$W$609,1)&gt;0,"●","")</f>
        <v/>
      </c>
      <c r="G72" s="39" t="str">
        <f>IF(COUNTIFS($P$10:$P$609,"C05E07",$R$10:$R$609,1,$X$10:$X$609,1)&gt;0,"●","")</f>
        <v/>
      </c>
      <c r="H72" s="40" t="str">
        <f>IF(COUNTIFS($P$10:$P$609,"C05E07",$R$10:$R$609,1,$Y$10:$Y$609,1)&gt;0,"●","")</f>
        <v/>
      </c>
      <c r="I72" s="80" t="str">
        <f>IF(SUMIFS($S$10:$S$609,$P$10:$P$609,"C05E07")=0,"—",SUMIFS($T$10:$T$609,$P$10:$P$609,"C05E07")&amp;"/"&amp;SUMIFS($S$10:$S$609,$P$10:$P$609,"C05E07"))</f>
        <v>0/1</v>
      </c>
      <c r="J72" s="87" t="str">
        <f>IF(SUMIFS($S$10:$S$609,$P$10:$P$609,"C05E07")=0,"",IF(SUMIFS($T$10:$T$609,$P$10:$P$609,"C05E07")=0,"0%",SUMIFS($T$10:$T$609,$P$10:$P$609,"C05E07")/SUMIFS($S$10:$S$609,$P$10:$P$609,"C05E07")))</f>
        <v>0%</v>
      </c>
      <c r="N72" s="32"/>
      <c r="O72" s="32">
        <v>4</v>
      </c>
      <c r="P72" s="32" t="s">
        <v>370</v>
      </c>
      <c r="Q72" s="32" t="s">
        <v>371</v>
      </c>
      <c r="R72" s="32">
        <v>1</v>
      </c>
      <c r="S72" s="32">
        <f t="shared" si="0"/>
        <v>1</v>
      </c>
      <c r="T72" s="32">
        <f>--('Ch.4 - Tester conditions'!I130="✓ Correct")</f>
        <v>0</v>
      </c>
      <c r="U72" s="32">
        <v>1</v>
      </c>
      <c r="V72" s="32">
        <v>0</v>
      </c>
      <c r="W72" s="32">
        <v>0</v>
      </c>
      <c r="X72" s="32">
        <v>0</v>
      </c>
      <c r="Y72" s="32">
        <v>0</v>
      </c>
      <c r="Z72" s="32"/>
      <c r="AA72" s="32"/>
    </row>
    <row r="73" spans="2:27" ht="33.950000000000003" customHeight="1">
      <c r="B73" s="35" t="s">
        <v>372</v>
      </c>
      <c r="C73" s="34" t="s">
        <v>373</v>
      </c>
      <c r="D73" s="36" t="s">
        <v>42</v>
      </c>
      <c r="E73" s="37" t="str">
        <f>IF(COUNTIFS($P$10:$P$609,"C05E08",$R$10:$R$609,1,$V$10:$V$609,1)&gt;0,"●","")</f>
        <v/>
      </c>
      <c r="F73" s="38" t="str">
        <f>IF(COUNTIFS($P$10:$P$609,"C05E08",$R$10:$R$609,1,$W$10:$W$609,1)&gt;0,"●","")</f>
        <v/>
      </c>
      <c r="G73" s="39" t="str">
        <f>IF(COUNTIFS($P$10:$P$609,"C05E08",$R$10:$R$609,1,$X$10:$X$609,1)&gt;0,"●","")</f>
        <v/>
      </c>
      <c r="H73" s="40" t="str">
        <f>IF(COUNTIFS($P$10:$P$609,"C05E08",$R$10:$R$609,1,$Y$10:$Y$609,1)&gt;0,"●","")</f>
        <v/>
      </c>
      <c r="I73" s="80" t="str">
        <f>IF(SUMIFS($S$10:$S$609,$P$10:$P$609,"C05E08")=0,"—",SUMIFS($T$10:$T$609,$P$10:$P$609,"C05E08")&amp;"/"&amp;SUMIFS($S$10:$S$609,$P$10:$P$609,"C05E08"))</f>
        <v>0/2</v>
      </c>
      <c r="J73" s="87" t="str">
        <f>IF(SUMIFS($S$10:$S$609,$P$10:$P$609,"C05E08")=0,"",IF(SUMIFS($T$10:$T$609,$P$10:$P$609,"C05E08")=0,"0%",SUMIFS($T$10:$T$609,$P$10:$P$609,"C05E08")/SUMIFS($S$10:$S$609,$P$10:$P$609,"C05E08")))</f>
        <v>0%</v>
      </c>
      <c r="N73" s="32"/>
      <c r="O73" s="32">
        <v>4</v>
      </c>
      <c r="P73" s="32" t="s">
        <v>370</v>
      </c>
      <c r="Q73" s="32" t="s">
        <v>374</v>
      </c>
      <c r="R73" s="32">
        <v>1</v>
      </c>
      <c r="S73" s="32">
        <f t="shared" si="0"/>
        <v>1</v>
      </c>
      <c r="T73" s="32">
        <f>--('Ch.4 - Tester conditions'!I142="✓ Correct")</f>
        <v>0</v>
      </c>
      <c r="U73" s="32">
        <v>1</v>
      </c>
      <c r="V73" s="32">
        <v>0</v>
      </c>
      <c r="W73" s="32">
        <v>0</v>
      </c>
      <c r="X73" s="32">
        <v>0</v>
      </c>
      <c r="Y73" s="32">
        <v>0</v>
      </c>
      <c r="Z73" s="32"/>
      <c r="AA73" s="32"/>
    </row>
    <row r="74" spans="2:27" ht="33.950000000000003" customHeight="1">
      <c r="B74" s="35" t="s">
        <v>375</v>
      </c>
      <c r="C74" s="34" t="s">
        <v>376</v>
      </c>
      <c r="D74" s="36" t="s">
        <v>42</v>
      </c>
      <c r="E74" s="37" t="str">
        <f>IF(COUNTIFS($P$10:$P$609,"C05E09",$R$10:$R$609,1,$V$10:$V$609,1)&gt;0,"●","")</f>
        <v/>
      </c>
      <c r="F74" s="38" t="str">
        <f>IF(COUNTIFS($P$10:$P$609,"C05E09",$R$10:$R$609,1,$W$10:$W$609,1)&gt;0,"●","")</f>
        <v/>
      </c>
      <c r="G74" s="39" t="str">
        <f>IF(COUNTIFS($P$10:$P$609,"C05E09",$R$10:$R$609,1,$X$10:$X$609,1)&gt;0,"●","")</f>
        <v/>
      </c>
      <c r="H74" s="40" t="str">
        <f>IF(COUNTIFS($P$10:$P$609,"C05E09",$R$10:$R$609,1,$Y$10:$Y$609,1)&gt;0,"●","")</f>
        <v/>
      </c>
      <c r="I74" s="80" t="str">
        <f>IF(SUMIFS($S$10:$S$609,$P$10:$P$609,"C05E09")=0,"—",SUMIFS($T$10:$T$609,$P$10:$P$609,"C05E09")&amp;"/"&amp;SUMIFS($S$10:$S$609,$P$10:$P$609,"C05E09"))</f>
        <v>0/2</v>
      </c>
      <c r="J74" s="87" t="str">
        <f>IF(SUMIFS($S$10:$S$609,$P$10:$P$609,"C05E09")=0,"",IF(SUMIFS($T$10:$T$609,$P$10:$P$609,"C05E09")=0,"0%",SUMIFS($T$10:$T$609,$P$10:$P$609,"C05E09")/SUMIFS($S$10:$S$609,$P$10:$P$609,"C05E09")))</f>
        <v>0%</v>
      </c>
      <c r="N74" s="32"/>
      <c r="O74" s="32">
        <v>4</v>
      </c>
      <c r="P74" s="32" t="s">
        <v>377</v>
      </c>
      <c r="Q74" s="32" t="s">
        <v>378</v>
      </c>
      <c r="R74" s="32">
        <v>1</v>
      </c>
      <c r="S74" s="32">
        <f t="shared" ref="S74:S137" si="1">IF(R74&lt;&gt;1,0,--OR(U74=1,AND($O$2&gt;=2,V74=1),AND($O$2&gt;=3,W74=1),AND($O$2&gt;=4,X74=1),AND($O$2&gt;=5,Y74=1)))</f>
        <v>1</v>
      </c>
      <c r="T74" s="32">
        <f>--('Ch.4 - Tester conditions'!I156="✓ Correct")</f>
        <v>0</v>
      </c>
      <c r="U74" s="32">
        <v>1</v>
      </c>
      <c r="V74" s="32">
        <v>0</v>
      </c>
      <c r="W74" s="32">
        <v>0</v>
      </c>
      <c r="X74" s="32">
        <v>0</v>
      </c>
      <c r="Y74" s="32">
        <v>0</v>
      </c>
      <c r="Z74" s="32"/>
      <c r="AA74" s="32"/>
    </row>
    <row r="75" spans="2:27" ht="33.950000000000003" customHeight="1">
      <c r="B75" s="35" t="s">
        <v>379</v>
      </c>
      <c r="C75" s="34" t="s">
        <v>380</v>
      </c>
      <c r="D75" s="36" t="str">
        <f>IF(COUNTIFS($P$10:$P$609,"C05E10",$R$10:$R$609,1,$U$10:$U$609,1)&gt;0,"●","")</f>
        <v/>
      </c>
      <c r="E75" s="37" t="s">
        <v>42</v>
      </c>
      <c r="F75" s="38" t="str">
        <f>IF(COUNTIFS($P$10:$P$609,"C05E10",$R$10:$R$609,1,$W$10:$W$609,1)&gt;0,"●","")</f>
        <v/>
      </c>
      <c r="G75" s="39" t="str">
        <f>IF(COUNTIFS($P$10:$P$609,"C05E10",$R$10:$R$609,1,$X$10:$X$609,1)&gt;0,"●","")</f>
        <v/>
      </c>
      <c r="H75" s="40" t="str">
        <f>IF(COUNTIFS($P$10:$P$609,"C05E10",$R$10:$R$609,1,$Y$10:$Y$609,1)&gt;0,"●","")</f>
        <v/>
      </c>
      <c r="I75" s="80" t="str">
        <f>IF(SUMIFS($S$10:$S$609,$P$10:$P$609,"C05E10")=0,"—",SUMIFS($T$10:$T$609,$P$10:$P$609,"C05E10")&amp;"/"&amp;SUMIFS($S$10:$S$609,$P$10:$P$609,"C05E10"))</f>
        <v>0/2</v>
      </c>
      <c r="J75" s="87" t="str">
        <f>IF(SUMIFS($S$10:$S$609,$P$10:$P$609,"C05E10")=0,"",IF(SUMIFS($T$10:$T$609,$P$10:$P$609,"C05E10")=0,"0%",SUMIFS($T$10:$T$609,$P$10:$P$609,"C05E10")/SUMIFS($S$10:$S$609,$P$10:$P$609,"C05E10")))</f>
        <v>0%</v>
      </c>
      <c r="N75" s="32"/>
      <c r="O75" s="32">
        <v>4</v>
      </c>
      <c r="P75" s="32" t="s">
        <v>377</v>
      </c>
      <c r="Q75" s="32" t="s">
        <v>381</v>
      </c>
      <c r="R75" s="32">
        <v>1</v>
      </c>
      <c r="S75" s="32">
        <f t="shared" si="1"/>
        <v>1</v>
      </c>
      <c r="T75" s="32">
        <f>--('Ch.4 - Tester conditions'!I168="✓ Correct")</f>
        <v>0</v>
      </c>
      <c r="U75" s="32">
        <v>1</v>
      </c>
      <c r="V75" s="32">
        <v>0</v>
      </c>
      <c r="W75" s="32">
        <v>0</v>
      </c>
      <c r="X75" s="32">
        <v>0</v>
      </c>
      <c r="Y75" s="32">
        <v>0</v>
      </c>
      <c r="Z75" s="32"/>
      <c r="AA75" s="32"/>
    </row>
    <row r="76" spans="2:27" ht="33.950000000000003" customHeight="1">
      <c r="B76" s="35" t="s">
        <v>382</v>
      </c>
      <c r="C76" s="34" t="s">
        <v>383</v>
      </c>
      <c r="D76" s="36" t="str">
        <f>IF(COUNTIFS($P$10:$P$609,"C05E11",$R$10:$R$609,1,$U$10:$U$609,1)&gt;0,"●","")</f>
        <v/>
      </c>
      <c r="E76" s="37" t="s">
        <v>42</v>
      </c>
      <c r="F76" s="38" t="str">
        <f>IF(COUNTIFS($P$10:$P$609,"C05E11",$R$10:$R$609,1,$W$10:$W$609,1)&gt;0,"●","")</f>
        <v/>
      </c>
      <c r="G76" s="39" t="str">
        <f>IF(COUNTIFS($P$10:$P$609,"C05E11",$R$10:$R$609,1,$X$10:$X$609,1)&gt;0,"●","")</f>
        <v/>
      </c>
      <c r="H76" s="40" t="str">
        <f>IF(COUNTIFS($P$10:$P$609,"C05E11",$R$10:$R$609,1,$Y$10:$Y$609,1)&gt;0,"●","")</f>
        <v/>
      </c>
      <c r="I76" s="80" t="str">
        <f>IF(SUMIFS($S$10:$S$609,$P$10:$P$609,"C05E11")=0,"—",SUMIFS($T$10:$T$609,$P$10:$P$609,"C05E11")&amp;"/"&amp;SUMIFS($S$10:$S$609,$P$10:$P$609,"C05E11"))</f>
        <v>0/2</v>
      </c>
      <c r="J76" s="87" t="str">
        <f>IF(SUMIFS($S$10:$S$609,$P$10:$P$609,"C05E11")=0,"",IF(SUMIFS($T$10:$T$609,$P$10:$P$609,"C05E11")=0,"0%",SUMIFS($T$10:$T$609,$P$10:$P$609,"C05E11")/SUMIFS($S$10:$S$609,$P$10:$P$609,"C05E11")))</f>
        <v>0%</v>
      </c>
      <c r="N76" s="32"/>
      <c r="O76" s="32">
        <v>4</v>
      </c>
      <c r="P76" s="32" t="s">
        <v>384</v>
      </c>
      <c r="Q76" s="32" t="s">
        <v>385</v>
      </c>
      <c r="R76" s="32">
        <v>1</v>
      </c>
      <c r="S76" s="32">
        <f t="shared" si="1"/>
        <v>1</v>
      </c>
      <c r="T76" s="32">
        <f>--('Ch.4 - Tester conditions'!I182="✓ Correct")</f>
        <v>0</v>
      </c>
      <c r="U76" s="32">
        <v>1</v>
      </c>
      <c r="V76" s="32">
        <v>0</v>
      </c>
      <c r="W76" s="32">
        <v>0</v>
      </c>
      <c r="X76" s="32">
        <v>0</v>
      </c>
      <c r="Y76" s="32">
        <v>0</v>
      </c>
      <c r="Z76" s="32"/>
      <c r="AA76" s="32"/>
    </row>
    <row r="77" spans="2:27" ht="33.950000000000003" customHeight="1">
      <c r="B77" s="35" t="s">
        <v>386</v>
      </c>
      <c r="C77" s="34" t="s">
        <v>387</v>
      </c>
      <c r="D77" s="36" t="str">
        <f>IF(COUNTIFS($P$10:$P$609,"C05E12",$R$10:$R$609,1,$U$10:$U$609,1)&gt;0,"●","")</f>
        <v/>
      </c>
      <c r="E77" s="37" t="str">
        <f>IF(COUNTIFS($P$10:$P$609,"C05E12",$R$10:$R$609,1,$V$10:$V$609,1)&gt;0,"●","")</f>
        <v/>
      </c>
      <c r="F77" s="38" t="str">
        <f>IF(COUNTIFS($P$10:$P$609,"C05E12",$R$10:$R$609,1,$W$10:$W$609,1)&gt;0,"●","")</f>
        <v/>
      </c>
      <c r="G77" s="39" t="s">
        <v>42</v>
      </c>
      <c r="H77" s="40" t="str">
        <f>IF(COUNTIFS($P$10:$P$609,"C05E12",$R$10:$R$609,1,$Y$10:$Y$609,1)&gt;0,"●","")</f>
        <v/>
      </c>
      <c r="I77" s="80" t="str">
        <f>IF(SUMIFS($S$10:$S$609,$P$10:$P$609,"C05E12")=0,"—",SUMIFS($T$10:$T$609,$P$10:$P$609,"C05E12")&amp;"/"&amp;SUMIFS($S$10:$S$609,$P$10:$P$609,"C05E12"))</f>
        <v>0/1</v>
      </c>
      <c r="J77" s="87" t="str">
        <f>IF(SUMIFS($S$10:$S$609,$P$10:$P$609,"C05E12")=0,"",IF(SUMIFS($T$10:$T$609,$P$10:$P$609,"C05E12")=0,"0%",SUMIFS($T$10:$T$609,$P$10:$P$609,"C05E12")/SUMIFS($S$10:$S$609,$P$10:$P$609,"C05E12")))</f>
        <v>0%</v>
      </c>
      <c r="N77" s="32"/>
      <c r="O77" s="32">
        <v>4</v>
      </c>
      <c r="P77" s="32" t="s">
        <v>384</v>
      </c>
      <c r="Q77" s="32" t="s">
        <v>388</v>
      </c>
      <c r="R77" s="32">
        <v>1</v>
      </c>
      <c r="S77" s="32">
        <f t="shared" si="1"/>
        <v>1</v>
      </c>
      <c r="T77" s="32">
        <f>--('Ch.4 - Tester conditions'!I194="✓ Correct")</f>
        <v>0</v>
      </c>
      <c r="U77" s="32">
        <v>1</v>
      </c>
      <c r="V77" s="32">
        <v>0</v>
      </c>
      <c r="W77" s="32">
        <v>0</v>
      </c>
      <c r="X77" s="32">
        <v>0</v>
      </c>
      <c r="Y77" s="32">
        <v>0</v>
      </c>
      <c r="Z77" s="32"/>
      <c r="AA77" s="32"/>
    </row>
    <row r="78" spans="2:27" ht="33.950000000000003" customHeight="1">
      <c r="B78" s="35" t="s">
        <v>389</v>
      </c>
      <c r="C78" s="34" t="s">
        <v>390</v>
      </c>
      <c r="D78" s="36" t="str">
        <f>IF(COUNTIFS($P$10:$P$609,"C05E13",$R$10:$R$609,1,$U$10:$U$609,1)&gt;0,"●","")</f>
        <v/>
      </c>
      <c r="E78" s="37" t="str">
        <f>IF(COUNTIFS($P$10:$P$609,"C05E13",$R$10:$R$609,1,$V$10:$V$609,1)&gt;0,"●","")</f>
        <v/>
      </c>
      <c r="F78" s="38" t="str">
        <f>IF(COUNTIFS($P$10:$P$609,"C05E13",$R$10:$R$609,1,$W$10:$W$609,1)&gt;0,"●","")</f>
        <v/>
      </c>
      <c r="G78" s="39" t="s">
        <v>42</v>
      </c>
      <c r="H78" s="40" t="str">
        <f>IF(COUNTIFS($P$10:$P$609,"C05E13",$R$10:$R$609,1,$Y$10:$Y$609,1)&gt;0,"●","")</f>
        <v/>
      </c>
      <c r="I78" s="80" t="str">
        <f>IF(SUMIFS($S$10:$S$609,$P$10:$P$609,"C05E13")=0,"—",SUMIFS($T$10:$T$609,$P$10:$P$609,"C05E13")&amp;"/"&amp;SUMIFS($S$10:$S$609,$P$10:$P$609,"C05E13"))</f>
        <v>0/1</v>
      </c>
      <c r="J78" s="87" t="str">
        <f>IF(SUMIFS($S$10:$S$609,$P$10:$P$609,"C05E13")=0,"",IF(SUMIFS($T$10:$T$609,$P$10:$P$609,"C05E13")=0,"0%",SUMIFS($T$10:$T$609,$P$10:$P$609,"C05E13")/SUMIFS($S$10:$S$609,$P$10:$P$609,"C05E13")))</f>
        <v>0%</v>
      </c>
      <c r="N78" s="32"/>
      <c r="O78" s="32">
        <v>4</v>
      </c>
      <c r="P78" s="32" t="s">
        <v>391</v>
      </c>
      <c r="Q78" s="32" t="s">
        <v>392</v>
      </c>
      <c r="R78" s="32">
        <v>1</v>
      </c>
      <c r="S78" s="32">
        <f t="shared" si="1"/>
        <v>1</v>
      </c>
      <c r="T78" s="32">
        <f>--('Ch.4 - Tester conditions'!I208="✓ Correct")</f>
        <v>0</v>
      </c>
      <c r="U78" s="32">
        <v>1</v>
      </c>
      <c r="V78" s="32">
        <v>0</v>
      </c>
      <c r="W78" s="32">
        <v>0</v>
      </c>
      <c r="X78" s="32">
        <v>0</v>
      </c>
      <c r="Y78" s="32">
        <v>0</v>
      </c>
      <c r="Z78" s="32"/>
      <c r="AA78" s="32"/>
    </row>
    <row r="79" spans="2:27" ht="33.950000000000003" customHeight="1">
      <c r="B79" s="35" t="s">
        <v>393</v>
      </c>
      <c r="C79" s="34" t="s">
        <v>394</v>
      </c>
      <c r="D79" s="36" t="str">
        <f>IF(COUNTIFS($P$10:$P$609,"C05E14",$R$10:$R$609,1,$U$10:$U$609,1)&gt;0,"●","")</f>
        <v/>
      </c>
      <c r="E79" s="37" t="s">
        <v>42</v>
      </c>
      <c r="F79" s="38" t="str">
        <f>IF(COUNTIFS($P$10:$P$609,"C05E14",$R$10:$R$609,1,$W$10:$W$609,1)&gt;0,"●","")</f>
        <v/>
      </c>
      <c r="G79" s="39" t="s">
        <v>42</v>
      </c>
      <c r="H79" s="40" t="str">
        <f>IF(COUNTIFS($P$10:$P$609,"C05E14",$R$10:$R$609,1,$Y$10:$Y$609,1)&gt;0,"●","")</f>
        <v/>
      </c>
      <c r="I79" s="80" t="str">
        <f>IF(SUMIFS($S$10:$S$609,$P$10:$P$609,"C05E14")=0,"—",SUMIFS($T$10:$T$609,$P$10:$P$609,"C05E14")&amp;"/"&amp;SUMIFS($S$10:$S$609,$P$10:$P$609,"C05E14"))</f>
        <v>0/2</v>
      </c>
      <c r="J79" s="87" t="str">
        <f>IF(SUMIFS($S$10:$S$609,$P$10:$P$609,"C05E14")=0,"",IF(SUMIFS($T$10:$T$609,$P$10:$P$609,"C05E14")=0,"0%",SUMIFS($T$10:$T$609,$P$10:$P$609,"C05E14")/SUMIFS($S$10:$S$609,$P$10:$P$609,"C05E14")))</f>
        <v>0%</v>
      </c>
      <c r="N79" s="32"/>
      <c r="O79" s="32">
        <v>4</v>
      </c>
      <c r="P79" s="32" t="s">
        <v>391</v>
      </c>
      <c r="Q79" s="32" t="s">
        <v>395</v>
      </c>
      <c r="R79" s="32">
        <v>1</v>
      </c>
      <c r="S79" s="32">
        <f t="shared" si="1"/>
        <v>1</v>
      </c>
      <c r="T79" s="32">
        <f>--('Ch.4 - Tester conditions'!I220="✓ Correct")</f>
        <v>0</v>
      </c>
      <c r="U79" s="32">
        <v>1</v>
      </c>
      <c r="V79" s="32">
        <v>0</v>
      </c>
      <c r="W79" s="32">
        <v>0</v>
      </c>
      <c r="X79" s="32">
        <v>0</v>
      </c>
      <c r="Y79" s="32">
        <v>0</v>
      </c>
      <c r="Z79" s="32"/>
      <c r="AA79" s="32"/>
    </row>
    <row r="80" spans="2:27" ht="33.950000000000003" customHeight="1">
      <c r="B80" s="35" t="s">
        <v>396</v>
      </c>
      <c r="C80" s="34" t="s">
        <v>397</v>
      </c>
      <c r="D80" s="36" t="s">
        <v>42</v>
      </c>
      <c r="E80" s="37" t="str">
        <f>IF(COUNTIFS($P$10:$P$609,"C05E15",$R$10:$R$609,1,$V$10:$V$609,1)&gt;0,"●","")</f>
        <v/>
      </c>
      <c r="F80" s="38" t="str">
        <f>IF(COUNTIFS($P$10:$P$609,"C05E15",$R$10:$R$609,1,$W$10:$W$609,1)&gt;0,"●","")</f>
        <v/>
      </c>
      <c r="G80" s="39" t="str">
        <f>IF(COUNTIFS($P$10:$P$609,"C05E15",$R$10:$R$609,1,$X$10:$X$609,1)&gt;0,"●","")</f>
        <v/>
      </c>
      <c r="H80" s="40" t="str">
        <f>IF(COUNTIFS($P$10:$P$609,"C05E15",$R$10:$R$609,1,$Y$10:$Y$609,1)&gt;0,"●","")</f>
        <v/>
      </c>
      <c r="I80" s="80" t="str">
        <f>IF(SUMIFS($S$10:$S$609,$P$10:$P$609,"C05E15")=0,"—",SUMIFS($T$10:$T$609,$P$10:$P$609,"C05E15")&amp;"/"&amp;SUMIFS($S$10:$S$609,$P$10:$P$609,"C05E15"))</f>
        <v>0/1</v>
      </c>
      <c r="J80" s="87" t="str">
        <f>IF(SUMIFS($S$10:$S$609,$P$10:$P$609,"C05E15")=0,"",IF(SUMIFS($T$10:$T$609,$P$10:$P$609,"C05E15")=0,"0%",SUMIFS($T$10:$T$609,$P$10:$P$609,"C05E15")/SUMIFS($S$10:$S$609,$P$10:$P$609,"C05E15")))</f>
        <v>0%</v>
      </c>
      <c r="N80" s="32"/>
      <c r="O80" s="32">
        <v>4</v>
      </c>
      <c r="P80" s="32" t="s">
        <v>398</v>
      </c>
      <c r="Q80" s="32" t="s">
        <v>399</v>
      </c>
      <c r="R80" s="32">
        <v>1</v>
      </c>
      <c r="S80" s="32">
        <f t="shared" si="1"/>
        <v>1</v>
      </c>
      <c r="T80" s="32">
        <f>--('Ch.4 - Tester conditions'!I235="✓ Correct")</f>
        <v>0</v>
      </c>
      <c r="U80" s="32">
        <v>1</v>
      </c>
      <c r="V80" s="32">
        <v>0</v>
      </c>
      <c r="W80" s="32">
        <v>0</v>
      </c>
      <c r="X80" s="32">
        <v>0</v>
      </c>
      <c r="Y80" s="32">
        <v>0</v>
      </c>
      <c r="Z80" s="32"/>
      <c r="AA80" s="32"/>
    </row>
    <row r="81" spans="2:27">
      <c r="I81" s="85"/>
      <c r="J81" s="125"/>
      <c r="N81" s="32"/>
      <c r="O81" s="32">
        <v>4</v>
      </c>
      <c r="P81" s="32" t="s">
        <v>398</v>
      </c>
      <c r="Q81" s="32" t="s">
        <v>400</v>
      </c>
      <c r="R81" s="32">
        <v>1</v>
      </c>
      <c r="S81" s="32">
        <f t="shared" si="1"/>
        <v>1</v>
      </c>
      <c r="T81" s="32">
        <f>--('Ch.4 - Tester conditions'!I247="✓ Correct")</f>
        <v>0</v>
      </c>
      <c r="U81" s="32">
        <v>1</v>
      </c>
      <c r="V81" s="32">
        <v>0</v>
      </c>
      <c r="W81" s="32">
        <v>0</v>
      </c>
      <c r="X81" s="32">
        <v>0</v>
      </c>
      <c r="Y81" s="32">
        <v>0</v>
      </c>
      <c r="Z81" s="32"/>
      <c r="AA81" s="32"/>
    </row>
    <row r="82" spans="2:27" ht="21.95" customHeight="1">
      <c r="B82" s="33" t="s">
        <v>401</v>
      </c>
      <c r="C82" s="96"/>
      <c r="D82" s="96"/>
      <c r="E82" s="96"/>
      <c r="F82" s="96"/>
      <c r="G82" s="96"/>
      <c r="H82" s="96"/>
      <c r="I82" s="83" t="str">
        <f>IF(SUMIFS($S$10:$S$609,$O$10:$O$609,6)=0,"—",SUMIFS($T$10:$T$609,$O$10:$O$609,6)&amp;"/"&amp;SUMIFS($S$10:$S$609,$O$10:$O$609,6))</f>
        <v>0/30</v>
      </c>
      <c r="J82" s="97" t="str">
        <f>IF(SUMIFS($S$10:$S$609,$O$10:$O$609,6)=0,"",IF(SUMIFS($T$10:$T$609,$O$10:$O$609,6)=0,"0%",SUMIFS($T$10:$T$609,$O$10:$O$609,6)/SUMIFS($S$10:$S$609,$O$10:$O$609,6)))</f>
        <v>0%</v>
      </c>
      <c r="N82" s="32"/>
      <c r="O82" s="32">
        <v>4</v>
      </c>
      <c r="P82" s="32" t="s">
        <v>402</v>
      </c>
      <c r="Q82" s="32" t="s">
        <v>403</v>
      </c>
      <c r="R82" s="32">
        <v>1</v>
      </c>
      <c r="S82" s="32">
        <f t="shared" si="1"/>
        <v>1</v>
      </c>
      <c r="T82" s="32">
        <f>--('Ch.4 - Tester conditions'!I261="✓ Correct")</f>
        <v>0</v>
      </c>
      <c r="U82" s="32">
        <v>0</v>
      </c>
      <c r="V82" s="32">
        <v>1</v>
      </c>
      <c r="W82" s="32">
        <v>0</v>
      </c>
      <c r="X82" s="32">
        <v>0</v>
      </c>
      <c r="Y82" s="32">
        <v>0</v>
      </c>
      <c r="Z82" s="32"/>
      <c r="AA82" s="32"/>
    </row>
    <row r="83" spans="2:27" ht="33.950000000000003" customHeight="1">
      <c r="B83" s="35" t="s">
        <v>404</v>
      </c>
      <c r="C83" s="34" t="s">
        <v>405</v>
      </c>
      <c r="D83" s="36" t="str">
        <f>IF(COUNTIFS($P$10:$P$609,"C06E01",$R$10:$R$609,1,$U$10:$U$609,1)&gt;0,"●","")</f>
        <v>●</v>
      </c>
      <c r="E83" s="37" t="str">
        <f>IF(COUNTIFS($P$10:$P$609,"C06E01",$R$10:$R$609,1,$V$10:$V$609,1)&gt;0,"●","")</f>
        <v/>
      </c>
      <c r="F83" s="38" t="str">
        <f>IF(COUNTIFS($P$10:$P$609,"C06E01",$R$10:$R$609,1,$W$10:$W$609,1)&gt;0,"●","")</f>
        <v/>
      </c>
      <c r="G83" s="39" t="str">
        <f>IF(COUNTIFS($P$10:$P$609,"C06E01",$R$10:$R$609,1,$X$10:$X$609,1)&gt;0,"●","")</f>
        <v/>
      </c>
      <c r="H83" s="40" t="str">
        <f>IF(COUNTIFS($P$10:$P$609,"C06E01",$R$10:$R$609,1,$Y$10:$Y$609,1)&gt;0,"●","")</f>
        <v/>
      </c>
      <c r="I83" s="92" t="str">
        <f>IF(SUMIFS($S$10:$S$609,$P$10:$P$609,"C06E01")=0,"—",SUMIFS($T$10:$T$609,$P$10:$P$609,"C06E01")&amp;"/"&amp;SUMIFS($S$10:$S$609,$P$10:$P$609,"C06E01"))</f>
        <v>0/2</v>
      </c>
      <c r="J83" s="91" t="str">
        <f>IF(SUMIFS($S$10:$S$609,$P$10:$P$609,"C06E01")=0,"",IF(SUMIFS($T$10:$T$609,$P$10:$P$609,"C06E01")=0,"0%",SUMIFS($T$10:$T$609,$P$10:$P$609,"C06E01")/SUMIFS($S$10:$S$609,$P$10:$P$609,"C06E01")))</f>
        <v>0%</v>
      </c>
      <c r="N83" s="32"/>
      <c r="O83" s="32">
        <v>4</v>
      </c>
      <c r="P83" s="32" t="s">
        <v>402</v>
      </c>
      <c r="Q83" s="32" t="s">
        <v>406</v>
      </c>
      <c r="R83" s="32">
        <v>1</v>
      </c>
      <c r="S83" s="32">
        <f t="shared" si="1"/>
        <v>1</v>
      </c>
      <c r="T83" s="32">
        <f>--('Ch.4 - Tester conditions'!I273="✓ Correct")</f>
        <v>0</v>
      </c>
      <c r="U83" s="32">
        <v>0</v>
      </c>
      <c r="V83" s="32">
        <v>1</v>
      </c>
      <c r="W83" s="32">
        <v>0</v>
      </c>
      <c r="X83" s="32">
        <v>0</v>
      </c>
      <c r="Y83" s="32">
        <v>0</v>
      </c>
      <c r="Z83" s="32"/>
      <c r="AA83" s="32"/>
    </row>
    <row r="84" spans="2:27" ht="33.950000000000003" customHeight="1">
      <c r="B84" s="35" t="s">
        <v>407</v>
      </c>
      <c r="C84" s="34" t="s">
        <v>408</v>
      </c>
      <c r="D84" s="36" t="str">
        <f>IF(COUNTIFS($P$10:$P$609,"C06E02",$R$10:$R$609,1,$U$10:$U$609,1)&gt;0,"●","")</f>
        <v>●</v>
      </c>
      <c r="E84" s="37" t="str">
        <f>IF(COUNTIFS($P$10:$P$609,"C06E02",$R$10:$R$609,1,$V$10:$V$609,1)&gt;0,"●","")</f>
        <v/>
      </c>
      <c r="F84" s="38" t="str">
        <f>IF(COUNTIFS($P$10:$P$609,"C06E02",$R$10:$R$609,1,$W$10:$W$609,1)&gt;0,"●","")</f>
        <v/>
      </c>
      <c r="G84" s="39" t="str">
        <f>IF(COUNTIFS($P$10:$P$609,"C06E02",$R$10:$R$609,1,$X$10:$X$609,1)&gt;0,"●","")</f>
        <v/>
      </c>
      <c r="H84" s="40" t="str">
        <f>IF(COUNTIFS($P$10:$P$609,"C06E02",$R$10:$R$609,1,$Y$10:$Y$609,1)&gt;0,"●","")</f>
        <v/>
      </c>
      <c r="I84" s="80" t="str">
        <f>IF(SUMIFS($S$10:$S$609,$P$10:$P$609,"C06E02")=0,"—",SUMIFS($T$10:$T$609,$P$10:$P$609,"C06E02")&amp;"/"&amp;SUMIFS($S$10:$S$609,$P$10:$P$609,"C06E02"))</f>
        <v>0/2</v>
      </c>
      <c r="J84" s="87" t="str">
        <f>IF(SUMIFS($S$10:$S$609,$P$10:$P$609,"C06E02")=0,"",IF(SUMIFS($T$10:$T$609,$P$10:$P$609,"C06E02")=0,"0%",SUMIFS($T$10:$T$609,$P$10:$P$609,"C06E02")/SUMIFS($S$10:$S$609,$P$10:$P$609,"C06E02")))</f>
        <v>0%</v>
      </c>
      <c r="N84" s="32"/>
      <c r="O84" s="32">
        <v>4</v>
      </c>
      <c r="P84" s="32" t="s">
        <v>409</v>
      </c>
      <c r="Q84" s="32" t="s">
        <v>410</v>
      </c>
      <c r="R84" s="32">
        <v>1</v>
      </c>
      <c r="S84" s="32">
        <f t="shared" si="1"/>
        <v>1</v>
      </c>
      <c r="T84" s="32">
        <f>--('Ch.4 - Tester conditions'!I287="✓ Correct")</f>
        <v>0</v>
      </c>
      <c r="U84" s="32">
        <v>1</v>
      </c>
      <c r="V84" s="32">
        <v>0</v>
      </c>
      <c r="W84" s="32">
        <v>0</v>
      </c>
      <c r="X84" s="32">
        <v>0</v>
      </c>
      <c r="Y84" s="32">
        <v>0</v>
      </c>
      <c r="Z84" s="32"/>
      <c r="AA84" s="32"/>
    </row>
    <row r="85" spans="2:27" ht="33.950000000000003" customHeight="1">
      <c r="B85" s="35" t="s">
        <v>411</v>
      </c>
      <c r="C85" s="34" t="s">
        <v>412</v>
      </c>
      <c r="D85" s="36" t="str">
        <f>IF(COUNTIFS($P$10:$P$609,"C06E03",$R$10:$R$609,1,$U$10:$U$609,1)&gt;0,"●","")</f>
        <v>●</v>
      </c>
      <c r="E85" s="37" t="str">
        <f>IF(COUNTIFS($P$10:$P$609,"C06E03",$R$10:$R$609,1,$V$10:$V$609,1)&gt;0,"●","")</f>
        <v/>
      </c>
      <c r="F85" s="38" t="str">
        <f>IF(COUNTIFS($P$10:$P$609,"C06E03",$R$10:$R$609,1,$W$10:$W$609,1)&gt;0,"●","")</f>
        <v/>
      </c>
      <c r="G85" s="39" t="str">
        <f>IF(COUNTIFS($P$10:$P$609,"C06E03",$R$10:$R$609,1,$X$10:$X$609,1)&gt;0,"●","")</f>
        <v/>
      </c>
      <c r="H85" s="40" t="str">
        <f>IF(COUNTIFS($P$10:$P$609,"C06E03",$R$10:$R$609,1,$Y$10:$Y$609,1)&gt;0,"●","")</f>
        <v/>
      </c>
      <c r="I85" s="80" t="str">
        <f>IF(SUMIFS($S$10:$S$609,$P$10:$P$609,"C06E03")=0,"—",SUMIFS($T$10:$T$609,$P$10:$P$609,"C06E03")&amp;"/"&amp;SUMIFS($S$10:$S$609,$P$10:$P$609,"C06E03"))</f>
        <v>0/4</v>
      </c>
      <c r="J85" s="87" t="str">
        <f>IF(SUMIFS($S$10:$S$609,$P$10:$P$609,"C06E03")=0,"",IF(SUMIFS($T$10:$T$609,$P$10:$P$609,"C06E03")=0,"0%",SUMIFS($T$10:$T$609,$P$10:$P$609,"C06E03")/SUMIFS($S$10:$S$609,$P$10:$P$609,"C06E03")))</f>
        <v>0%</v>
      </c>
      <c r="N85" s="32"/>
      <c r="O85" s="32">
        <v>4</v>
      </c>
      <c r="P85" s="32" t="s">
        <v>409</v>
      </c>
      <c r="Q85" s="32" t="s">
        <v>413</v>
      </c>
      <c r="R85" s="32">
        <v>1</v>
      </c>
      <c r="S85" s="32">
        <f t="shared" si="1"/>
        <v>1</v>
      </c>
      <c r="T85" s="32">
        <f>--('Ch.4 - Tester conditions'!I299="✓ Correct")</f>
        <v>0</v>
      </c>
      <c r="U85" s="32">
        <v>1</v>
      </c>
      <c r="V85" s="32">
        <v>0</v>
      </c>
      <c r="W85" s="32">
        <v>0</v>
      </c>
      <c r="X85" s="32">
        <v>0</v>
      </c>
      <c r="Y85" s="32">
        <v>0</v>
      </c>
      <c r="Z85" s="32"/>
      <c r="AA85" s="32"/>
    </row>
    <row r="86" spans="2:27" ht="33.950000000000003" customHeight="1">
      <c r="B86" s="35" t="s">
        <v>414</v>
      </c>
      <c r="C86" s="34" t="s">
        <v>415</v>
      </c>
      <c r="D86" s="36" t="str">
        <f>IF(COUNTIFS($P$10:$P$609,"C06E04",$R$10:$R$609,1,$U$10:$U$609,1)&gt;0,"●","")</f>
        <v>●</v>
      </c>
      <c r="E86" s="37" t="str">
        <f>IF(COUNTIFS($P$10:$P$609,"C06E04",$R$10:$R$609,1,$V$10:$V$609,1)&gt;0,"●","")</f>
        <v/>
      </c>
      <c r="F86" s="38" t="str">
        <f>IF(COUNTIFS($P$10:$P$609,"C06E04",$R$10:$R$609,1,$W$10:$W$609,1)&gt;0,"●","")</f>
        <v/>
      </c>
      <c r="G86" s="39" t="str">
        <f>IF(COUNTIFS($P$10:$P$609,"C06E04",$R$10:$R$609,1,$X$10:$X$609,1)&gt;0,"●","")</f>
        <v/>
      </c>
      <c r="H86" s="40" t="str">
        <f>IF(COUNTIFS($P$10:$P$609,"C06E04",$R$10:$R$609,1,$Y$10:$Y$609,1)&gt;0,"●","")</f>
        <v/>
      </c>
      <c r="I86" s="80" t="str">
        <f>IF(SUMIFS($S$10:$S$609,$P$10:$P$609,"C06E04")=0,"—",SUMIFS($T$10:$T$609,$P$10:$P$609,"C06E04")&amp;"/"&amp;SUMIFS($S$10:$S$609,$P$10:$P$609,"C06E04"))</f>
        <v>0/1</v>
      </c>
      <c r="J86" s="87" t="str">
        <f>IF(SUMIFS($S$10:$S$609,$P$10:$P$609,"C06E04")=0,"",IF(SUMIFS($T$10:$T$609,$P$10:$P$609,"C06E04")=0,"0%",SUMIFS($T$10:$T$609,$P$10:$P$609,"C06E04")/SUMIFS($S$10:$S$609,$P$10:$P$609,"C06E04")))</f>
        <v>0%</v>
      </c>
      <c r="N86" s="32"/>
      <c r="O86" s="32">
        <v>4</v>
      </c>
      <c r="P86" s="32" t="s">
        <v>416</v>
      </c>
      <c r="Q86" s="32" t="s">
        <v>417</v>
      </c>
      <c r="R86" s="32">
        <v>1</v>
      </c>
      <c r="S86" s="32">
        <f t="shared" si="1"/>
        <v>1</v>
      </c>
      <c r="T86" s="32">
        <f>--('Ch.4 - Tester conditions'!I314="✓ Correct")</f>
        <v>0</v>
      </c>
      <c r="U86" s="32">
        <v>1</v>
      </c>
      <c r="V86" s="32">
        <v>0</v>
      </c>
      <c r="W86" s="32">
        <v>0</v>
      </c>
      <c r="X86" s="32">
        <v>0</v>
      </c>
      <c r="Y86" s="32">
        <v>0</v>
      </c>
      <c r="Z86" s="32"/>
      <c r="AA86" s="32"/>
    </row>
    <row r="87" spans="2:27" ht="33.950000000000003" customHeight="1">
      <c r="B87" s="35" t="s">
        <v>418</v>
      </c>
      <c r="C87" s="34" t="s">
        <v>419</v>
      </c>
      <c r="D87" s="36" t="str">
        <f>IF(COUNTIFS($P$10:$P$609,"C06E05",$R$10:$R$609,1,$U$10:$U$609,1)&gt;0,"●","")</f>
        <v>●</v>
      </c>
      <c r="E87" s="37" t="str">
        <f>IF(COUNTIFS($P$10:$P$609,"C06E05",$R$10:$R$609,1,$V$10:$V$609,1)&gt;0,"●","")</f>
        <v/>
      </c>
      <c r="F87" s="38" t="str">
        <f>IF(COUNTIFS($P$10:$P$609,"C06E05",$R$10:$R$609,1,$W$10:$W$609,1)&gt;0,"●","")</f>
        <v/>
      </c>
      <c r="G87" s="39" t="str">
        <f>IF(COUNTIFS($P$10:$P$609,"C06E05",$R$10:$R$609,1,$X$10:$X$609,1)&gt;0,"●","")</f>
        <v/>
      </c>
      <c r="H87" s="40" t="str">
        <f>IF(COUNTIFS($P$10:$P$609,"C06E05",$R$10:$R$609,1,$Y$10:$Y$609,1)&gt;0,"●","")</f>
        <v/>
      </c>
      <c r="I87" s="80" t="str">
        <f>IF(SUMIFS($S$10:$S$609,$P$10:$P$609,"C06E05")=0,"—",SUMIFS($T$10:$T$609,$P$10:$P$609,"C06E05")&amp;"/"&amp;SUMIFS($S$10:$S$609,$P$10:$P$609,"C06E05"))</f>
        <v>0/2</v>
      </c>
      <c r="J87" s="87" t="str">
        <f>IF(SUMIFS($S$10:$S$609,$P$10:$P$609,"C06E05")=0,"",IF(SUMIFS($T$10:$T$609,$P$10:$P$609,"C06E05")=0,"0%",SUMIFS($T$10:$T$609,$P$10:$P$609,"C06E05")/SUMIFS($S$10:$S$609,$P$10:$P$609,"C06E05")))</f>
        <v>0%</v>
      </c>
      <c r="N87" s="32"/>
      <c r="O87" s="32">
        <v>5</v>
      </c>
      <c r="P87" s="32" t="s">
        <v>420</v>
      </c>
      <c r="Q87" s="32" t="s">
        <v>421</v>
      </c>
      <c r="R87" s="32">
        <v>1</v>
      </c>
      <c r="S87" s="32">
        <f t="shared" si="1"/>
        <v>1</v>
      </c>
      <c r="T87" s="32">
        <f>--('Ch.5 - Manipuler le texte'!I35="✓ Correct")</f>
        <v>0</v>
      </c>
      <c r="U87" s="32">
        <v>1</v>
      </c>
      <c r="V87" s="32">
        <v>0</v>
      </c>
      <c r="W87" s="32">
        <v>0</v>
      </c>
      <c r="X87" s="32">
        <v>0</v>
      </c>
      <c r="Y87" s="32">
        <v>0</v>
      </c>
      <c r="Z87" s="32"/>
      <c r="AA87" s="32"/>
    </row>
    <row r="88" spans="2:27" ht="33.950000000000003" customHeight="1">
      <c r="B88" s="35" t="s">
        <v>422</v>
      </c>
      <c r="C88" s="34" t="s">
        <v>423</v>
      </c>
      <c r="D88" s="36" t="str">
        <f>IF(COUNTIFS($P$10:$P$609,"C06E06",$R$10:$R$609,1,$U$10:$U$609,1)&gt;0,"●","")</f>
        <v>●</v>
      </c>
      <c r="E88" s="37" t="str">
        <f>IF(COUNTIFS($P$10:$P$609,"C06E06",$R$10:$R$609,1,$V$10:$V$609,1)&gt;0,"●","")</f>
        <v/>
      </c>
      <c r="F88" s="38" t="str">
        <f>IF(COUNTIFS($P$10:$P$609,"C06E06",$R$10:$R$609,1,$W$10:$W$609,1)&gt;0,"●","")</f>
        <v/>
      </c>
      <c r="G88" s="39" t="str">
        <f>IF(COUNTIFS($P$10:$P$609,"C06E06",$R$10:$R$609,1,$X$10:$X$609,1)&gt;0,"●","")</f>
        <v/>
      </c>
      <c r="H88" s="40" t="str">
        <f>IF(COUNTIFS($P$10:$P$609,"C06E06",$R$10:$R$609,1,$Y$10:$Y$609,1)&gt;0,"●","")</f>
        <v/>
      </c>
      <c r="I88" s="80" t="str">
        <f>IF(SUMIFS($S$10:$S$609,$P$10:$P$609,"C06E06")=0,"—",SUMIFS($T$10:$T$609,$P$10:$P$609,"C06E06")&amp;"/"&amp;SUMIFS($S$10:$S$609,$P$10:$P$609,"C06E06"))</f>
        <v>0/2</v>
      </c>
      <c r="J88" s="87" t="str">
        <f>IF(SUMIFS($S$10:$S$609,$P$10:$P$609,"C06E06")=0,"",IF(SUMIFS($T$10:$T$609,$P$10:$P$609,"C06E06")=0,"0%",SUMIFS($T$10:$T$609,$P$10:$P$609,"C06E06")/SUMIFS($S$10:$S$609,$P$10:$P$609,"C06E06")))</f>
        <v>0%</v>
      </c>
      <c r="N88" s="32"/>
      <c r="O88" s="32">
        <v>5</v>
      </c>
      <c r="P88" s="32" t="s">
        <v>420</v>
      </c>
      <c r="Q88" s="32" t="s">
        <v>424</v>
      </c>
      <c r="R88" s="32">
        <v>1</v>
      </c>
      <c r="S88" s="32">
        <f t="shared" si="1"/>
        <v>1</v>
      </c>
      <c r="T88" s="32">
        <f>--('Ch.5 - Manipuler le texte'!I45="✓ Correct")</f>
        <v>0</v>
      </c>
      <c r="U88" s="32">
        <v>1</v>
      </c>
      <c r="V88" s="32">
        <v>0</v>
      </c>
      <c r="W88" s="32">
        <v>0</v>
      </c>
      <c r="X88" s="32">
        <v>0</v>
      </c>
      <c r="Y88" s="32">
        <v>0</v>
      </c>
      <c r="Z88" s="32"/>
      <c r="AA88" s="32"/>
    </row>
    <row r="89" spans="2:27" ht="33.950000000000003" customHeight="1">
      <c r="B89" s="35" t="s">
        <v>425</v>
      </c>
      <c r="C89" s="34" t="s">
        <v>426</v>
      </c>
      <c r="D89" s="36" t="str">
        <f>IF(COUNTIFS($P$10:$P$609,"C06E07",$R$10:$R$609,1,$U$10:$U$609,1)&gt;0,"●","")</f>
        <v>●</v>
      </c>
      <c r="E89" s="37" t="str">
        <f>IF(COUNTIFS($P$10:$P$609,"C06E07",$R$10:$R$609,1,$V$10:$V$609,1)&gt;0,"●","")</f>
        <v/>
      </c>
      <c r="F89" s="38" t="str">
        <f>IF(COUNTIFS($P$10:$P$609,"C06E07",$R$10:$R$609,1,$W$10:$W$609,1)&gt;0,"●","")</f>
        <v/>
      </c>
      <c r="G89" s="39" t="str">
        <f>IF(COUNTIFS($P$10:$P$609,"C06E07",$R$10:$R$609,1,$X$10:$X$609,1)&gt;0,"●","")</f>
        <v/>
      </c>
      <c r="H89" s="40" t="str">
        <f>IF(COUNTIFS($P$10:$P$609,"C06E07",$R$10:$R$609,1,$Y$10:$Y$609,1)&gt;0,"●","")</f>
        <v/>
      </c>
      <c r="I89" s="80" t="str">
        <f>IF(SUMIFS($S$10:$S$609,$P$10:$P$609,"C06E07")=0,"—",SUMIFS($T$10:$T$609,$P$10:$P$609,"C06E07")&amp;"/"&amp;SUMIFS($S$10:$S$609,$P$10:$P$609,"C06E07"))</f>
        <v>0/2</v>
      </c>
      <c r="J89" s="87" t="str">
        <f>IF(SUMIFS($S$10:$S$609,$P$10:$P$609,"C06E07")=0,"",IF(SUMIFS($T$10:$T$609,$P$10:$P$609,"C06E07")=0,"0%",SUMIFS($T$10:$T$609,$P$10:$P$609,"C06E07")/SUMIFS($S$10:$S$609,$P$10:$P$609,"C06E07")))</f>
        <v>0%</v>
      </c>
      <c r="N89" s="32"/>
      <c r="O89" s="32">
        <v>5</v>
      </c>
      <c r="P89" s="32" t="s">
        <v>427</v>
      </c>
      <c r="Q89" s="32" t="s">
        <v>428</v>
      </c>
      <c r="R89" s="32">
        <v>1</v>
      </c>
      <c r="S89" s="32">
        <f t="shared" si="1"/>
        <v>1</v>
      </c>
      <c r="T89" s="32">
        <f>--('Ch.5 - Manipuler le texte'!I57="✓ Correct")</f>
        <v>0</v>
      </c>
      <c r="U89" s="32">
        <v>1</v>
      </c>
      <c r="V89" s="32">
        <v>0</v>
      </c>
      <c r="W89" s="32">
        <v>0</v>
      </c>
      <c r="X89" s="32">
        <v>0</v>
      </c>
      <c r="Y89" s="32">
        <v>0</v>
      </c>
      <c r="Z89" s="32"/>
      <c r="AA89" s="32"/>
    </row>
    <row r="90" spans="2:27" ht="33.950000000000003" customHeight="1">
      <c r="B90" s="35" t="s">
        <v>429</v>
      </c>
      <c r="C90" s="34" t="s">
        <v>430</v>
      </c>
      <c r="D90" s="36" t="str">
        <f>IF(COUNTIFS($P$10:$P$609,"C06E08",$R$10:$R$609,1,$U$10:$U$609,1)&gt;0,"●","")</f>
        <v/>
      </c>
      <c r="E90" s="37" t="str">
        <f>IF(COUNTIFS($P$10:$P$609,"C06E08",$R$10:$R$609,1,$V$10:$V$609,1)&gt;0,"●","")</f>
        <v/>
      </c>
      <c r="F90" s="38" t="str">
        <f>IF(COUNTIFS($P$10:$P$609,"C06E08",$R$10:$R$609,1,$W$10:$W$609,1)&gt;0,"●","")</f>
        <v>●</v>
      </c>
      <c r="G90" s="39" t="str">
        <f>IF(COUNTIFS($P$10:$P$609,"C06E08",$R$10:$R$609,1,$X$10:$X$609,1)&gt;0,"●","")</f>
        <v/>
      </c>
      <c r="H90" s="40" t="str">
        <f>IF(COUNTIFS($P$10:$P$609,"C06E08",$R$10:$R$609,1,$Y$10:$Y$609,1)&gt;0,"●","")</f>
        <v/>
      </c>
      <c r="I90" s="80" t="str">
        <f>IF(SUMIFS($S$10:$S$609,$P$10:$P$609,"C06E08")=0,"—",SUMIFS($T$10:$T$609,$P$10:$P$609,"C06E08")&amp;"/"&amp;SUMIFS($S$10:$S$609,$P$10:$P$609,"C06E08"))</f>
        <v>0/8</v>
      </c>
      <c r="J90" s="87" t="str">
        <f>IF(SUMIFS($S$10:$S$609,$P$10:$P$609,"C06E08")=0,"",IF(SUMIFS($T$10:$T$609,$P$10:$P$609,"C06E08")=0,"0%",SUMIFS($T$10:$T$609,$P$10:$P$609,"C06E08")/SUMIFS($S$10:$S$609,$P$10:$P$609,"C06E08")))</f>
        <v>0%</v>
      </c>
      <c r="N90" s="32"/>
      <c r="O90" s="32">
        <v>5</v>
      </c>
      <c r="P90" s="32" t="s">
        <v>427</v>
      </c>
      <c r="Q90" s="32" t="s">
        <v>431</v>
      </c>
      <c r="R90" s="32">
        <v>1</v>
      </c>
      <c r="S90" s="32">
        <f t="shared" si="1"/>
        <v>1</v>
      </c>
      <c r="T90" s="32">
        <f>--('Ch.5 - Manipuler le texte'!I67="✓ Correct")</f>
        <v>0</v>
      </c>
      <c r="U90" s="32">
        <v>1</v>
      </c>
      <c r="V90" s="32">
        <v>0</v>
      </c>
      <c r="W90" s="32">
        <v>0</v>
      </c>
      <c r="X90" s="32">
        <v>0</v>
      </c>
      <c r="Y90" s="32">
        <v>0</v>
      </c>
      <c r="Z90" s="32"/>
      <c r="AA90" s="32"/>
    </row>
    <row r="91" spans="2:27" ht="33.950000000000003" customHeight="1">
      <c r="B91" s="35" t="s">
        <v>432</v>
      </c>
      <c r="C91" s="34" t="s">
        <v>433</v>
      </c>
      <c r="D91" s="36" t="str">
        <f>IF(COUNTIFS($P$10:$P$609,"C06E09",$R$10:$R$609,1,$U$10:$U$609,1)&gt;0,"●","")</f>
        <v>●</v>
      </c>
      <c r="E91" s="37" t="str">
        <f>IF(COUNTIFS($P$10:$P$609,"C06E09",$R$10:$R$609,1,$V$10:$V$609,1)&gt;0,"●","")</f>
        <v/>
      </c>
      <c r="F91" s="38" t="str">
        <f>IF(COUNTIFS($P$10:$P$609,"C06E09",$R$10:$R$609,1,$W$10:$W$609,1)&gt;0,"●","")</f>
        <v>●</v>
      </c>
      <c r="G91" s="39" t="str">
        <f>IF(COUNTIFS($P$10:$P$609,"C06E09",$R$10:$R$609,1,$X$10:$X$609,1)&gt;0,"●","")</f>
        <v/>
      </c>
      <c r="H91" s="40" t="str">
        <f>IF(COUNTIFS($P$10:$P$609,"C06E09",$R$10:$R$609,1,$Y$10:$Y$609,1)&gt;0,"●","")</f>
        <v/>
      </c>
      <c r="I91" s="80" t="str">
        <f>IF(SUMIFS($S$10:$S$609,$P$10:$P$609,"C06E09")=0,"—",SUMIFS($T$10:$T$609,$P$10:$P$609,"C06E09")&amp;"/"&amp;SUMIFS($S$10:$S$609,$P$10:$P$609,"C06E09"))</f>
        <v>0/3</v>
      </c>
      <c r="J91" s="87" t="str">
        <f>IF(SUMIFS($S$10:$S$609,$P$10:$P$609,"C06E09")=0,"",IF(SUMIFS($T$10:$T$609,$P$10:$P$609,"C06E09")=0,"0%",SUMIFS($T$10:$T$609,$P$10:$P$609,"C06E09")/SUMIFS($S$10:$S$609,$P$10:$P$609,"C06E09")))</f>
        <v>0%</v>
      </c>
      <c r="N91" s="32"/>
      <c r="O91" s="32">
        <v>5</v>
      </c>
      <c r="P91" s="32" t="s">
        <v>434</v>
      </c>
      <c r="Q91" s="32" t="s">
        <v>435</v>
      </c>
      <c r="R91" s="32">
        <v>1</v>
      </c>
      <c r="S91" s="32">
        <f t="shared" si="1"/>
        <v>1</v>
      </c>
      <c r="T91" s="32">
        <f>--('Ch.5 - Manipuler le texte'!I79="✓ Correct")</f>
        <v>0</v>
      </c>
      <c r="U91" s="32">
        <v>1</v>
      </c>
      <c r="V91" s="32">
        <v>0</v>
      </c>
      <c r="W91" s="32">
        <v>0</v>
      </c>
      <c r="X91" s="32">
        <v>0</v>
      </c>
      <c r="Y91" s="32">
        <v>0</v>
      </c>
      <c r="Z91" s="32"/>
      <c r="AA91" s="32"/>
    </row>
    <row r="92" spans="2:27" ht="33.950000000000003" customHeight="1">
      <c r="B92" s="35" t="s">
        <v>436</v>
      </c>
      <c r="C92" s="34" t="s">
        <v>437</v>
      </c>
      <c r="D92" s="36" t="str">
        <f>IF(COUNTIFS($P$10:$P$609,"C06E10",$R$10:$R$609,1,$U$10:$U$609,1)&gt;0,"●","")</f>
        <v/>
      </c>
      <c r="E92" s="37" t="str">
        <f>IF(COUNTIFS($P$10:$P$609,"C06E10",$R$10:$R$609,1,$V$10:$V$609,1)&gt;0,"●","")</f>
        <v/>
      </c>
      <c r="F92" s="38" t="str">
        <f>IF(COUNTIFS($P$10:$P$609,"C06E10",$R$10:$R$609,1,$W$10:$W$609,1)&gt;0,"●","")</f>
        <v>●</v>
      </c>
      <c r="G92" s="39" t="str">
        <f>IF(COUNTIFS($P$10:$P$609,"C06E10",$R$10:$R$609,1,$X$10:$X$609,1)&gt;0,"●","")</f>
        <v/>
      </c>
      <c r="H92" s="40" t="str">
        <f>IF(COUNTIFS($P$10:$P$609,"C06E10",$R$10:$R$609,1,$Y$10:$Y$609,1)&gt;0,"●","")</f>
        <v/>
      </c>
      <c r="I92" s="80" t="str">
        <f>IF(SUMIFS($S$10:$S$609,$P$10:$P$609,"C06E10")=0,"—",SUMIFS($T$10:$T$609,$P$10:$P$609,"C06E10")&amp;"/"&amp;SUMIFS($S$10:$S$609,$P$10:$P$609,"C06E10"))</f>
        <v>0/2</v>
      </c>
      <c r="J92" s="87" t="str">
        <f>IF(SUMIFS($S$10:$S$609,$P$10:$P$609,"C06E10")=0,"",IF(SUMIFS($T$10:$T$609,$P$10:$P$609,"C06E10")=0,"0%",SUMIFS($T$10:$T$609,$P$10:$P$609,"C06E10")/SUMIFS($S$10:$S$609,$P$10:$P$609,"C06E10")))</f>
        <v>0%</v>
      </c>
      <c r="N92" s="32"/>
      <c r="O92" s="32">
        <v>5</v>
      </c>
      <c r="P92" s="32" t="s">
        <v>434</v>
      </c>
      <c r="Q92" s="32" t="s">
        <v>438</v>
      </c>
      <c r="R92" s="32">
        <v>1</v>
      </c>
      <c r="S92" s="32">
        <f t="shared" si="1"/>
        <v>1</v>
      </c>
      <c r="T92" s="32">
        <f>--('Ch.5 - Manipuler le texte'!I89="✓ Correct")</f>
        <v>0</v>
      </c>
      <c r="U92" s="32">
        <v>1</v>
      </c>
      <c r="V92" s="32">
        <v>0</v>
      </c>
      <c r="W92" s="32">
        <v>0</v>
      </c>
      <c r="X92" s="32">
        <v>0</v>
      </c>
      <c r="Y92" s="32">
        <v>0</v>
      </c>
      <c r="Z92" s="32"/>
      <c r="AA92" s="32"/>
    </row>
    <row r="93" spans="2:27" ht="33.950000000000003" customHeight="1">
      <c r="B93" s="35" t="s">
        <v>393</v>
      </c>
      <c r="C93" s="34" t="s">
        <v>439</v>
      </c>
      <c r="D93" s="36" t="str">
        <f>IF(COUNTIFS($P$10:$P$609,"C06E11",$R$10:$R$609,1,$U$10:$U$609,1)&gt;0,"●","")</f>
        <v/>
      </c>
      <c r="E93" s="37" t="str">
        <f>IF(COUNTIFS($P$10:$P$609,"C06E11",$R$10:$R$609,1,$V$10:$V$609,1)&gt;0,"●","")</f>
        <v/>
      </c>
      <c r="F93" s="38" t="str">
        <f>IF(COUNTIFS($P$10:$P$609,"C06E11",$R$10:$R$609,1,$W$10:$W$609,1)&gt;0,"●","")</f>
        <v>●</v>
      </c>
      <c r="G93" s="39" t="str">
        <f>IF(COUNTIFS($P$10:$P$609,"C06E11",$R$10:$R$609,1,$X$10:$X$609,1)&gt;0,"●","")</f>
        <v/>
      </c>
      <c r="H93" s="40" t="str">
        <f>IF(COUNTIFS($P$10:$P$609,"C06E11",$R$10:$R$609,1,$Y$10:$Y$609,1)&gt;0,"●","")</f>
        <v/>
      </c>
      <c r="I93" s="80" t="str">
        <f>IF(SUMIFS($S$10:$S$609,$P$10:$P$609,"C06E11")=0,"—",SUMIFS($T$10:$T$609,$P$10:$P$609,"C06E11")&amp;"/"&amp;SUMIFS($S$10:$S$609,$P$10:$P$609,"C06E11"))</f>
        <v>0/1</v>
      </c>
      <c r="J93" s="87" t="str">
        <f>IF(SUMIFS($S$10:$S$609,$P$10:$P$609,"C06E11")=0,"",IF(SUMIFS($T$10:$T$609,$P$10:$P$609,"C06E11")=0,"0%",SUMIFS($T$10:$T$609,$P$10:$P$609,"C06E11")/SUMIFS($S$10:$S$609,$P$10:$P$609,"C06E11")))</f>
        <v>0%</v>
      </c>
      <c r="N93" s="32"/>
      <c r="O93" s="32">
        <v>5</v>
      </c>
      <c r="P93" s="32" t="s">
        <v>440</v>
      </c>
      <c r="Q93" s="32" t="s">
        <v>441</v>
      </c>
      <c r="R93" s="32">
        <v>1</v>
      </c>
      <c r="S93" s="32">
        <f t="shared" si="1"/>
        <v>1</v>
      </c>
      <c r="T93" s="32">
        <f>--('Ch.5 - Manipuler le texte'!I101="✓ Correct")</f>
        <v>0</v>
      </c>
      <c r="U93" s="32">
        <v>1</v>
      </c>
      <c r="V93" s="32">
        <v>0</v>
      </c>
      <c r="W93" s="32">
        <v>0</v>
      </c>
      <c r="X93" s="32">
        <v>0</v>
      </c>
      <c r="Y93" s="32">
        <v>0</v>
      </c>
      <c r="Z93" s="32"/>
      <c r="AA93" s="32"/>
    </row>
    <row r="94" spans="2:27" ht="33.950000000000003" customHeight="1">
      <c r="B94" s="35" t="s">
        <v>442</v>
      </c>
      <c r="C94" s="34" t="s">
        <v>443</v>
      </c>
      <c r="D94" s="36" t="str">
        <f>IF(COUNTIFS($P$10:$P$609,"C06E12",$R$10:$R$609,1,$U$10:$U$609,1)&gt;0,"●","")</f>
        <v>●</v>
      </c>
      <c r="E94" s="37" t="str">
        <f>IF(COUNTIFS($P$10:$P$609,"C06E12",$R$10:$R$609,1,$V$10:$V$609,1)&gt;0,"●","")</f>
        <v/>
      </c>
      <c r="F94" s="38" t="str">
        <f>IF(COUNTIFS($P$10:$P$609,"C06E12",$R$10:$R$609,1,$W$10:$W$609,1)&gt;0,"●","")</f>
        <v/>
      </c>
      <c r="G94" s="39" t="str">
        <f>IF(COUNTIFS($P$10:$P$609,"C06E12",$R$10:$R$609,1,$X$10:$X$609,1)&gt;0,"●","")</f>
        <v/>
      </c>
      <c r="H94" s="40" t="str">
        <f>IF(COUNTIFS($P$10:$P$609,"C06E12",$R$10:$R$609,1,$Y$10:$Y$609,1)&gt;0,"●","")</f>
        <v/>
      </c>
      <c r="I94" s="80" t="str">
        <f>IF(SUMIFS($S$10:$S$609,$P$10:$P$609,"C06E12")=0,"—",SUMIFS($T$10:$T$609,$P$10:$P$609,"C06E12")&amp;"/"&amp;SUMIFS($S$10:$S$609,$P$10:$P$609,"C06E12"))</f>
        <v>0/1</v>
      </c>
      <c r="J94" s="87" t="str">
        <f>IF(SUMIFS($S$10:$S$609,$P$10:$P$609,"C06E12")=0,"",IF(SUMIFS($T$10:$T$609,$P$10:$P$609,"C06E12")=0,"0%",SUMIFS($T$10:$T$609,$P$10:$P$609,"C06E12")/SUMIFS($S$10:$S$609,$P$10:$P$609,"C06E12")))</f>
        <v>0%</v>
      </c>
      <c r="N94" s="32"/>
      <c r="O94" s="32">
        <v>5</v>
      </c>
      <c r="P94" s="32" t="s">
        <v>440</v>
      </c>
      <c r="Q94" s="32" t="s">
        <v>444</v>
      </c>
      <c r="R94" s="32">
        <v>1</v>
      </c>
      <c r="S94" s="32">
        <f t="shared" si="1"/>
        <v>1</v>
      </c>
      <c r="T94" s="32">
        <f>--('Ch.5 - Manipuler le texte'!I111="✓ Correct")</f>
        <v>0</v>
      </c>
      <c r="U94" s="32">
        <v>1</v>
      </c>
      <c r="V94" s="32">
        <v>0</v>
      </c>
      <c r="W94" s="32">
        <v>0</v>
      </c>
      <c r="X94" s="32">
        <v>0</v>
      </c>
      <c r="Y94" s="32">
        <v>0</v>
      </c>
      <c r="Z94" s="32"/>
      <c r="AA94" s="32"/>
    </row>
    <row r="95" spans="2:27">
      <c r="I95" s="85"/>
      <c r="J95" s="125"/>
      <c r="N95" s="32"/>
      <c r="O95" s="32">
        <v>5</v>
      </c>
      <c r="P95" s="32" t="s">
        <v>445</v>
      </c>
      <c r="Q95" s="32" t="s">
        <v>446</v>
      </c>
      <c r="R95" s="32">
        <v>1</v>
      </c>
      <c r="S95" s="32">
        <f t="shared" si="1"/>
        <v>1</v>
      </c>
      <c r="T95" s="32">
        <f>--('Ch.5 - Manipuler le texte'!I123="✓ Correct")</f>
        <v>0</v>
      </c>
      <c r="U95" s="32">
        <v>1</v>
      </c>
      <c r="V95" s="32">
        <v>0</v>
      </c>
      <c r="W95" s="32">
        <v>0</v>
      </c>
      <c r="X95" s="32">
        <v>0</v>
      </c>
      <c r="Y95" s="32">
        <v>0</v>
      </c>
      <c r="Z95" s="32"/>
      <c r="AA95" s="32"/>
    </row>
    <row r="96" spans="2:27" ht="21.95" customHeight="1">
      <c r="B96" s="33" t="s">
        <v>447</v>
      </c>
      <c r="C96" s="96"/>
      <c r="D96" s="96"/>
      <c r="E96" s="96"/>
      <c r="F96" s="96"/>
      <c r="G96" s="96"/>
      <c r="H96" s="96"/>
      <c r="I96" s="83" t="str">
        <f>IF(SUMIFS($S$10:$S$609,$O$10:$O$609,7)=0,"—",SUMIFS($T$10:$T$609,$O$10:$O$609,7)&amp;"/"&amp;SUMIFS($S$10:$S$609,$O$10:$O$609,7))</f>
        <v>0/30</v>
      </c>
      <c r="J96" s="97" t="str">
        <f>IF(SUMIFS($S$10:$S$609,$O$10:$O$609,7)=0,"",IF(SUMIFS($T$10:$T$609,$O$10:$O$609,7)=0,"0%",SUMIFS($T$10:$T$609,$O$10:$O$609,7)/SUMIFS($S$10:$S$609,$O$10:$O$609,7)))</f>
        <v>0%</v>
      </c>
      <c r="N96" s="32"/>
      <c r="O96" s="32">
        <v>5</v>
      </c>
      <c r="P96" s="32" t="s">
        <v>445</v>
      </c>
      <c r="Q96" s="32" t="s">
        <v>448</v>
      </c>
      <c r="R96" s="32">
        <v>1</v>
      </c>
      <c r="S96" s="32">
        <f t="shared" si="1"/>
        <v>1</v>
      </c>
      <c r="T96" s="32">
        <f>--('Ch.5 - Manipuler le texte'!I133="✓ Correct")</f>
        <v>0</v>
      </c>
      <c r="U96" s="32">
        <v>1</v>
      </c>
      <c r="V96" s="32">
        <v>0</v>
      </c>
      <c r="W96" s="32">
        <v>0</v>
      </c>
      <c r="X96" s="32">
        <v>0</v>
      </c>
      <c r="Y96" s="32">
        <v>0</v>
      </c>
      <c r="Z96" s="32"/>
      <c r="AA96" s="32"/>
    </row>
    <row r="97" spans="2:27" ht="33.950000000000003" customHeight="1">
      <c r="B97" s="35" t="s">
        <v>449</v>
      </c>
      <c r="C97" s="34" t="s">
        <v>450</v>
      </c>
      <c r="D97" s="36" t="str">
        <f>IF(COUNTIFS($P$10:$P$609,"C07E01",$R$10:$R$609,1,$U$10:$U$609,1)&gt;0,"●","")</f>
        <v/>
      </c>
      <c r="E97" s="37" t="str">
        <f>IF(COUNTIFS($P$10:$P$609,"C07E01",$R$10:$R$609,1,$V$10:$V$609,1)&gt;0,"●","")</f>
        <v/>
      </c>
      <c r="F97" s="38" t="str">
        <f>IF(COUNTIFS($P$10:$P$609,"C07E01",$R$10:$R$609,1,$W$10:$W$609,1)&gt;0,"●","")</f>
        <v>●</v>
      </c>
      <c r="G97" s="39" t="str">
        <f>IF(COUNTIFS($P$10:$P$609,"C07E01",$R$10:$R$609,1,$X$10:$X$609,1)&gt;0,"●","")</f>
        <v/>
      </c>
      <c r="H97" s="40" t="str">
        <f>IF(COUNTIFS($P$10:$P$609,"C07E01",$R$10:$R$609,1,$Y$10:$Y$609,1)&gt;0,"●","")</f>
        <v/>
      </c>
      <c r="I97" s="92" t="str">
        <f>IF(SUMIFS($S$10:$S$609,$P$10:$P$609,"C07E01")=0,"—",SUMIFS($T$10:$T$609,$P$10:$P$609,"C07E01")&amp;"/"&amp;SUMIFS($S$10:$S$609,$P$10:$P$609,"C07E01"))</f>
        <v>0/4</v>
      </c>
      <c r="J97" s="91" t="str">
        <f>IF(SUMIFS($S$10:$S$609,$P$10:$P$609,"C07E01")=0,"",IF(SUMIFS($T$10:$T$609,$P$10:$P$609,"C07E01")=0,"0%",SUMIFS($T$10:$T$609,$P$10:$P$609,"C07E01")/SUMIFS($S$10:$S$609,$P$10:$P$609,"C07E01")))</f>
        <v>0%</v>
      </c>
      <c r="N97" s="32"/>
      <c r="O97" s="32">
        <v>5</v>
      </c>
      <c r="P97" s="32" t="s">
        <v>451</v>
      </c>
      <c r="Q97" s="32" t="s">
        <v>452</v>
      </c>
      <c r="R97" s="32">
        <v>1</v>
      </c>
      <c r="S97" s="32">
        <f t="shared" si="1"/>
        <v>1</v>
      </c>
      <c r="T97" s="32">
        <f>--('Ch.5 - Manipuler le texte'!I145="✓ Correct")</f>
        <v>0</v>
      </c>
      <c r="U97" s="32">
        <v>1</v>
      </c>
      <c r="V97" s="32">
        <v>0</v>
      </c>
      <c r="W97" s="32">
        <v>0</v>
      </c>
      <c r="X97" s="32">
        <v>0</v>
      </c>
      <c r="Y97" s="32">
        <v>0</v>
      </c>
      <c r="Z97" s="32"/>
      <c r="AA97" s="32"/>
    </row>
    <row r="98" spans="2:27" ht="33.950000000000003" customHeight="1">
      <c r="B98" s="35" t="s">
        <v>453</v>
      </c>
      <c r="C98" s="34" t="s">
        <v>454</v>
      </c>
      <c r="D98" s="36" t="str">
        <f>IF(COUNTIFS($P$10:$P$609,"C07E02",$R$10:$R$609,1,$U$10:$U$609,1)&gt;0,"●","")</f>
        <v/>
      </c>
      <c r="E98" s="37" t="str">
        <f>IF(COUNTIFS($P$10:$P$609,"C07E02",$R$10:$R$609,1,$V$10:$V$609,1)&gt;0,"●","")</f>
        <v/>
      </c>
      <c r="F98" s="38" t="str">
        <f>IF(COUNTIFS($P$10:$P$609,"C07E02",$R$10:$R$609,1,$W$10:$W$609,1)&gt;0,"●","")</f>
        <v>●</v>
      </c>
      <c r="G98" s="39" t="str">
        <f>IF(COUNTIFS($P$10:$P$609,"C07E02",$R$10:$R$609,1,$X$10:$X$609,1)&gt;0,"●","")</f>
        <v/>
      </c>
      <c r="H98" s="40" t="str">
        <f>IF(COUNTIFS($P$10:$P$609,"C07E02",$R$10:$R$609,1,$Y$10:$Y$609,1)&gt;0,"●","")</f>
        <v/>
      </c>
      <c r="I98" s="80" t="str">
        <f>IF(SUMIFS($S$10:$S$609,$P$10:$P$609,"C07E02")=0,"—",SUMIFS($T$10:$T$609,$P$10:$P$609,"C07E02")&amp;"/"&amp;SUMIFS($S$10:$S$609,$P$10:$P$609,"C07E02"))</f>
        <v>0/6</v>
      </c>
      <c r="J98" s="87" t="str">
        <f>IF(SUMIFS($S$10:$S$609,$P$10:$P$609,"C07E02")=0,"",IF(SUMIFS($T$10:$T$609,$P$10:$P$609,"C07E02")=0,"0%",SUMIFS($T$10:$T$609,$P$10:$P$609,"C07E02")/SUMIFS($S$10:$S$609,$P$10:$P$609,"C07E02")))</f>
        <v>0%</v>
      </c>
      <c r="N98" s="32"/>
      <c r="O98" s="32">
        <v>5</v>
      </c>
      <c r="P98" s="32" t="s">
        <v>455</v>
      </c>
      <c r="Q98" s="32" t="s">
        <v>456</v>
      </c>
      <c r="R98" s="32">
        <v>1</v>
      </c>
      <c r="S98" s="32">
        <f t="shared" si="1"/>
        <v>1</v>
      </c>
      <c r="T98" s="32">
        <f>--('Ch.5 - Manipuler le texte'!I157="✓ Correct")</f>
        <v>0</v>
      </c>
      <c r="U98" s="32">
        <v>1</v>
      </c>
      <c r="V98" s="32">
        <v>0</v>
      </c>
      <c r="W98" s="32">
        <v>0</v>
      </c>
      <c r="X98" s="32">
        <v>0</v>
      </c>
      <c r="Y98" s="32">
        <v>0</v>
      </c>
      <c r="Z98" s="32"/>
      <c r="AA98" s="32"/>
    </row>
    <row r="99" spans="2:27" ht="33.950000000000003" customHeight="1">
      <c r="B99" s="35" t="s">
        <v>457</v>
      </c>
      <c r="C99" s="34" t="s">
        <v>458</v>
      </c>
      <c r="D99" s="36" t="str">
        <f>IF(COUNTIFS($P$10:$P$609,"C07E03",$R$10:$R$609,1,$U$10:$U$609,1)&gt;0,"●","")</f>
        <v/>
      </c>
      <c r="E99" s="37" t="str">
        <f>IF(COUNTIFS($P$10:$P$609,"C07E03",$R$10:$R$609,1,$V$10:$V$609,1)&gt;0,"●","")</f>
        <v/>
      </c>
      <c r="F99" s="38" t="str">
        <f>IF(COUNTIFS($P$10:$P$609,"C07E03",$R$10:$R$609,1,$W$10:$W$609,1)&gt;0,"●","")</f>
        <v>●</v>
      </c>
      <c r="G99" s="39" t="str">
        <f>IF(COUNTIFS($P$10:$P$609,"C07E03",$R$10:$R$609,1,$X$10:$X$609,1)&gt;0,"●","")</f>
        <v/>
      </c>
      <c r="H99" s="40" t="str">
        <f>IF(COUNTIFS($P$10:$P$609,"C07E03",$R$10:$R$609,1,$Y$10:$Y$609,1)&gt;0,"●","")</f>
        <v/>
      </c>
      <c r="I99" s="80" t="str">
        <f>IF(SUMIFS($S$10:$S$609,$P$10:$P$609,"C07E03")=0,"—",SUMIFS($T$10:$T$609,$P$10:$P$609,"C07E03")&amp;"/"&amp;SUMIFS($S$10:$S$609,$P$10:$P$609,"C07E03"))</f>
        <v>0/4</v>
      </c>
      <c r="J99" s="87" t="str">
        <f>IF(SUMIFS($S$10:$S$609,$P$10:$P$609,"C07E03")=0,"",IF(SUMIFS($T$10:$T$609,$P$10:$P$609,"C07E03")=0,"0%",SUMIFS($T$10:$T$609,$P$10:$P$609,"C07E03")/SUMIFS($S$10:$S$609,$P$10:$P$609,"C07E03")))</f>
        <v>0%</v>
      </c>
      <c r="N99" s="32"/>
      <c r="O99" s="32">
        <v>5</v>
      </c>
      <c r="P99" s="32" t="s">
        <v>459</v>
      </c>
      <c r="Q99" s="32" t="s">
        <v>460</v>
      </c>
      <c r="R99" s="32">
        <v>1</v>
      </c>
      <c r="S99" s="32">
        <f t="shared" si="1"/>
        <v>1</v>
      </c>
      <c r="T99" s="32">
        <f>--('Ch.5 - Manipuler le texte'!I169="✓ Correct")</f>
        <v>0</v>
      </c>
      <c r="U99" s="32">
        <v>1</v>
      </c>
      <c r="V99" s="32">
        <v>0</v>
      </c>
      <c r="W99" s="32">
        <v>0</v>
      </c>
      <c r="X99" s="32">
        <v>0</v>
      </c>
      <c r="Y99" s="32">
        <v>0</v>
      </c>
      <c r="Z99" s="32"/>
      <c r="AA99" s="32"/>
    </row>
    <row r="100" spans="2:27" ht="33.950000000000003" customHeight="1">
      <c r="B100" s="35" t="s">
        <v>461</v>
      </c>
      <c r="C100" s="34" t="s">
        <v>462</v>
      </c>
      <c r="D100" s="36" t="str">
        <f>IF(COUNTIFS($P$10:$P$609,"C07E04",$R$10:$R$609,1,$U$10:$U$609,1)&gt;0,"●","")</f>
        <v/>
      </c>
      <c r="E100" s="37" t="str">
        <f>IF(COUNTIFS($P$10:$P$609,"C07E04",$R$10:$R$609,1,$V$10:$V$609,1)&gt;0,"●","")</f>
        <v/>
      </c>
      <c r="F100" s="38" t="str">
        <f>IF(COUNTIFS($P$10:$P$609,"C07E04",$R$10:$R$609,1,$W$10:$W$609,1)&gt;0,"●","")</f>
        <v>●</v>
      </c>
      <c r="G100" s="39" t="str">
        <f>IF(COUNTIFS($P$10:$P$609,"C07E04",$R$10:$R$609,1,$X$10:$X$609,1)&gt;0,"●","")</f>
        <v/>
      </c>
      <c r="H100" s="40" t="str">
        <f>IF(COUNTIFS($P$10:$P$609,"C07E04",$R$10:$R$609,1,$Y$10:$Y$609,1)&gt;0,"●","")</f>
        <v/>
      </c>
      <c r="I100" s="80" t="str">
        <f>IF(SUMIFS($S$10:$S$609,$P$10:$P$609,"C07E04")=0,"—",SUMIFS($T$10:$T$609,$P$10:$P$609,"C07E04")&amp;"/"&amp;SUMIFS($S$10:$S$609,$P$10:$P$609,"C07E04"))</f>
        <v>0/4</v>
      </c>
      <c r="J100" s="87" t="str">
        <f>IF(SUMIFS($S$10:$S$609,$P$10:$P$609,"C07E04")=0,"",IF(SUMIFS($T$10:$T$609,$P$10:$P$609,"C07E04")=0,"0%",SUMIFS($T$10:$T$609,$P$10:$P$609,"C07E04")/SUMIFS($S$10:$S$609,$P$10:$P$609,"C07E04")))</f>
        <v>0%</v>
      </c>
      <c r="N100" s="32"/>
      <c r="O100" s="32">
        <v>5</v>
      </c>
      <c r="P100" s="32" t="s">
        <v>459</v>
      </c>
      <c r="Q100" s="32" t="s">
        <v>463</v>
      </c>
      <c r="R100" s="32">
        <v>1</v>
      </c>
      <c r="S100" s="32">
        <f t="shared" si="1"/>
        <v>1</v>
      </c>
      <c r="T100" s="32">
        <f>--('Ch.5 - Manipuler le texte'!I179="✓ Correct")</f>
        <v>0</v>
      </c>
      <c r="U100" s="32">
        <v>1</v>
      </c>
      <c r="V100" s="32">
        <v>0</v>
      </c>
      <c r="W100" s="32">
        <v>0</v>
      </c>
      <c r="X100" s="32">
        <v>0</v>
      </c>
      <c r="Y100" s="32">
        <v>0</v>
      </c>
      <c r="Z100" s="32"/>
      <c r="AA100" s="32"/>
    </row>
    <row r="101" spans="2:27" ht="33.950000000000003" customHeight="1">
      <c r="B101" s="35" t="s">
        <v>464</v>
      </c>
      <c r="C101" s="34" t="s">
        <v>465</v>
      </c>
      <c r="D101" s="36" t="str">
        <f>IF(COUNTIFS($P$10:$P$609,"C07E05",$R$10:$R$609,1,$U$10:$U$609,1)&gt;0,"●","")</f>
        <v/>
      </c>
      <c r="E101" s="37" t="str">
        <f>IF(COUNTIFS($P$10:$P$609,"C07E05",$R$10:$R$609,1,$V$10:$V$609,1)&gt;0,"●","")</f>
        <v/>
      </c>
      <c r="F101" s="38" t="str">
        <f>IF(COUNTIFS($P$10:$P$609,"C07E05",$R$10:$R$609,1,$W$10:$W$609,1)&gt;0,"●","")</f>
        <v>●</v>
      </c>
      <c r="G101" s="39" t="str">
        <f>IF(COUNTIFS($P$10:$P$609,"C07E05",$R$10:$R$609,1,$X$10:$X$609,1)&gt;0,"●","")</f>
        <v/>
      </c>
      <c r="H101" s="40" t="str">
        <f>IF(COUNTIFS($P$10:$P$609,"C07E05",$R$10:$R$609,1,$Y$10:$Y$609,1)&gt;0,"●","")</f>
        <v/>
      </c>
      <c r="I101" s="80" t="str">
        <f>IF(SUMIFS($S$10:$S$609,$P$10:$P$609,"C07E05")=0,"—",SUMIFS($T$10:$T$609,$P$10:$P$609,"C07E05")&amp;"/"&amp;SUMIFS($S$10:$S$609,$P$10:$P$609,"C07E05"))</f>
        <v>0/2</v>
      </c>
      <c r="J101" s="87" t="str">
        <f>IF(SUMIFS($S$10:$S$609,$P$10:$P$609,"C07E05")=0,"",IF(SUMIFS($T$10:$T$609,$P$10:$P$609,"C07E05")=0,"0%",SUMIFS($T$10:$T$609,$P$10:$P$609,"C07E05")/SUMIFS($S$10:$S$609,$P$10:$P$609,"C07E05")))</f>
        <v>0%</v>
      </c>
      <c r="N101" s="32"/>
      <c r="O101" s="32">
        <v>5</v>
      </c>
      <c r="P101" s="32" t="s">
        <v>466</v>
      </c>
      <c r="Q101" s="32" t="s">
        <v>467</v>
      </c>
      <c r="R101" s="32">
        <v>1</v>
      </c>
      <c r="S101" s="32">
        <f t="shared" si="1"/>
        <v>1</v>
      </c>
      <c r="T101" s="32">
        <f>--('Ch.5 - Manipuler le texte'!I191="✓ Correct")</f>
        <v>0</v>
      </c>
      <c r="U101" s="32">
        <v>1</v>
      </c>
      <c r="V101" s="32">
        <v>0</v>
      </c>
      <c r="W101" s="32">
        <v>0</v>
      </c>
      <c r="X101" s="32">
        <v>0</v>
      </c>
      <c r="Y101" s="32">
        <v>0</v>
      </c>
      <c r="Z101" s="32"/>
      <c r="AA101" s="32"/>
    </row>
    <row r="102" spans="2:27" ht="33.950000000000003" customHeight="1">
      <c r="B102" s="35" t="s">
        <v>468</v>
      </c>
      <c r="C102" s="34" t="s">
        <v>469</v>
      </c>
      <c r="D102" s="36" t="str">
        <f>IF(COUNTIFS($P$10:$P$609,"C07E06",$R$10:$R$609,1,$U$10:$U$609,1)&gt;0,"●","")</f>
        <v/>
      </c>
      <c r="E102" s="37" t="str">
        <f>IF(COUNTIFS($P$10:$P$609,"C07E06",$R$10:$R$609,1,$V$10:$V$609,1)&gt;0,"●","")</f>
        <v/>
      </c>
      <c r="F102" s="38" t="str">
        <f>IF(COUNTIFS($P$10:$P$609,"C07E06",$R$10:$R$609,1,$W$10:$W$609,1)&gt;0,"●","")</f>
        <v>●</v>
      </c>
      <c r="G102" s="39" t="str">
        <f>IF(COUNTIFS($P$10:$P$609,"C07E06",$R$10:$R$609,1,$X$10:$X$609,1)&gt;0,"●","")</f>
        <v/>
      </c>
      <c r="H102" s="40" t="str">
        <f>IF(COUNTIFS($P$10:$P$609,"C07E06",$R$10:$R$609,1,$Y$10:$Y$609,1)&gt;0,"●","")</f>
        <v/>
      </c>
      <c r="I102" s="80" t="str">
        <f>IF(SUMIFS($S$10:$S$609,$P$10:$P$609,"C07E06")=0,"—",SUMIFS($T$10:$T$609,$P$10:$P$609,"C07E06")&amp;"/"&amp;SUMIFS($S$10:$S$609,$P$10:$P$609,"C07E06"))</f>
        <v>0/3</v>
      </c>
      <c r="J102" s="87" t="str">
        <f>IF(SUMIFS($S$10:$S$609,$P$10:$P$609,"C07E06")=0,"",IF(SUMIFS($T$10:$T$609,$P$10:$P$609,"C07E06")=0,"0%",SUMIFS($T$10:$T$609,$P$10:$P$609,"C07E06")/SUMIFS($S$10:$S$609,$P$10:$P$609,"C07E06")))</f>
        <v>0%</v>
      </c>
      <c r="N102" s="32"/>
      <c r="O102" s="32">
        <v>5</v>
      </c>
      <c r="P102" s="32" t="s">
        <v>466</v>
      </c>
      <c r="Q102" s="32" t="s">
        <v>470</v>
      </c>
      <c r="R102" s="32">
        <v>1</v>
      </c>
      <c r="S102" s="32">
        <f t="shared" si="1"/>
        <v>1</v>
      </c>
      <c r="T102" s="32">
        <f>--('Ch.5 - Manipuler le texte'!I201="✓ Correct")</f>
        <v>0</v>
      </c>
      <c r="U102" s="32">
        <v>1</v>
      </c>
      <c r="V102" s="32">
        <v>0</v>
      </c>
      <c r="W102" s="32">
        <v>0</v>
      </c>
      <c r="X102" s="32">
        <v>0</v>
      </c>
      <c r="Y102" s="32">
        <v>0</v>
      </c>
      <c r="Z102" s="32"/>
      <c r="AA102" s="32"/>
    </row>
    <row r="103" spans="2:27" ht="33.950000000000003" customHeight="1">
      <c r="B103" s="35" t="s">
        <v>471</v>
      </c>
      <c r="C103" s="34" t="s">
        <v>472</v>
      </c>
      <c r="D103" s="36" t="str">
        <f>IF(COUNTIFS($P$10:$P$609,"C07E07",$R$10:$R$609,1,$U$10:$U$609,1)&gt;0,"●","")</f>
        <v/>
      </c>
      <c r="E103" s="37" t="str">
        <f>IF(COUNTIFS($P$10:$P$609,"C07E07",$R$10:$R$609,1,$V$10:$V$609,1)&gt;0,"●","")</f>
        <v/>
      </c>
      <c r="F103" s="38" t="str">
        <f>IF(COUNTIFS($P$10:$P$609,"C07E07",$R$10:$R$609,1,$W$10:$W$609,1)&gt;0,"●","")</f>
        <v>●</v>
      </c>
      <c r="G103" s="39" t="str">
        <f>IF(COUNTIFS($P$10:$P$609,"C07E07",$R$10:$R$609,1,$X$10:$X$609,1)&gt;0,"●","")</f>
        <v/>
      </c>
      <c r="H103" s="40" t="str">
        <f>IF(COUNTIFS($P$10:$P$609,"C07E07",$R$10:$R$609,1,$Y$10:$Y$609,1)&gt;0,"●","")</f>
        <v/>
      </c>
      <c r="I103" s="80" t="str">
        <f>IF(SUMIFS($S$10:$S$609,$P$10:$P$609,"C07E07")=0,"—",SUMIFS($T$10:$T$609,$P$10:$P$609,"C07E07")&amp;"/"&amp;SUMIFS($S$10:$S$609,$P$10:$P$609,"C07E07"))</f>
        <v>0/4</v>
      </c>
      <c r="J103" s="87" t="str">
        <f>IF(SUMIFS($S$10:$S$609,$P$10:$P$609,"C07E07")=0,"",IF(SUMIFS($T$10:$T$609,$P$10:$P$609,"C07E07")=0,"0%",SUMIFS($T$10:$T$609,$P$10:$P$609,"C07E07")/SUMIFS($S$10:$S$609,$P$10:$P$609,"C07E07")))</f>
        <v>0%</v>
      </c>
      <c r="N103" s="32"/>
      <c r="O103" s="32">
        <v>5</v>
      </c>
      <c r="P103" s="32" t="s">
        <v>473</v>
      </c>
      <c r="Q103" s="32" t="s">
        <v>474</v>
      </c>
      <c r="R103" s="32">
        <v>1</v>
      </c>
      <c r="S103" s="32">
        <f t="shared" si="1"/>
        <v>1</v>
      </c>
      <c r="T103" s="32">
        <f>--('Ch.5 - Manipuler le texte'!I213="✓ Correct")</f>
        <v>0</v>
      </c>
      <c r="U103" s="32">
        <v>0</v>
      </c>
      <c r="V103" s="32">
        <v>1</v>
      </c>
      <c r="W103" s="32">
        <v>0</v>
      </c>
      <c r="X103" s="32">
        <v>0</v>
      </c>
      <c r="Y103" s="32">
        <v>0</v>
      </c>
      <c r="Z103" s="32"/>
      <c r="AA103" s="32"/>
    </row>
    <row r="104" spans="2:27" ht="33.950000000000003" customHeight="1">
      <c r="B104" s="35" t="s">
        <v>475</v>
      </c>
      <c r="C104" s="34" t="s">
        <v>476</v>
      </c>
      <c r="D104" s="36" t="str">
        <f>IF(COUNTIFS($P$10:$P$609,"C07E08",$R$10:$R$609,1,$U$10:$U$609,1)&gt;0,"●","")</f>
        <v/>
      </c>
      <c r="E104" s="37" t="str">
        <f>IF(COUNTIFS($P$10:$P$609,"C07E08",$R$10:$R$609,1,$V$10:$V$609,1)&gt;0,"●","")</f>
        <v/>
      </c>
      <c r="F104" s="38" t="str">
        <f>IF(COUNTIFS($P$10:$P$609,"C07E08",$R$10:$R$609,1,$W$10:$W$609,1)&gt;0,"●","")</f>
        <v>●</v>
      </c>
      <c r="G104" s="39" t="str">
        <f>IF(COUNTIFS($P$10:$P$609,"C07E08",$R$10:$R$609,1,$X$10:$X$609,1)&gt;0,"●","")</f>
        <v/>
      </c>
      <c r="H104" s="40" t="str">
        <f>IF(COUNTIFS($P$10:$P$609,"C07E08",$R$10:$R$609,1,$Y$10:$Y$609,1)&gt;0,"●","")</f>
        <v/>
      </c>
      <c r="I104" s="80" t="str">
        <f>IF(SUMIFS($S$10:$S$609,$P$10:$P$609,"C07E08")=0,"—",SUMIFS($T$10:$T$609,$P$10:$P$609,"C07E08")&amp;"/"&amp;SUMIFS($S$10:$S$609,$P$10:$P$609,"C07E08"))</f>
        <v>0/3</v>
      </c>
      <c r="J104" s="87" t="str">
        <f>IF(SUMIFS($S$10:$S$609,$P$10:$P$609,"C07E08")=0,"",IF(SUMIFS($T$10:$T$609,$P$10:$P$609,"C07E08")=0,"0%",SUMIFS($T$10:$T$609,$P$10:$P$609,"C07E08")/SUMIFS($S$10:$S$609,$P$10:$P$609,"C07E08")))</f>
        <v>0%</v>
      </c>
      <c r="N104" s="32"/>
      <c r="O104" s="32">
        <v>5</v>
      </c>
      <c r="P104" s="32" t="s">
        <v>473</v>
      </c>
      <c r="Q104" s="32" t="s">
        <v>477</v>
      </c>
      <c r="R104" s="32">
        <v>1</v>
      </c>
      <c r="S104" s="32">
        <f t="shared" si="1"/>
        <v>1</v>
      </c>
      <c r="T104" s="32">
        <f>--('Ch.5 - Manipuler le texte'!I223="✓ Correct")</f>
        <v>0</v>
      </c>
      <c r="U104" s="32">
        <v>0</v>
      </c>
      <c r="V104" s="32">
        <v>1</v>
      </c>
      <c r="W104" s="32">
        <v>0</v>
      </c>
      <c r="X104" s="32">
        <v>0</v>
      </c>
      <c r="Y104" s="32">
        <v>0</v>
      </c>
      <c r="Z104" s="32"/>
      <c r="AA104" s="32"/>
    </row>
    <row r="105" spans="2:27">
      <c r="J105" s="125"/>
      <c r="N105" s="32"/>
      <c r="O105" s="32">
        <v>5</v>
      </c>
      <c r="P105" s="32" t="s">
        <v>478</v>
      </c>
      <c r="Q105" s="32" t="s">
        <v>479</v>
      </c>
      <c r="R105" s="32">
        <v>1</v>
      </c>
      <c r="S105" s="32">
        <f t="shared" si="1"/>
        <v>1</v>
      </c>
      <c r="T105" s="32">
        <f>--('Ch.5 - Manipuler le texte'!I235="✓ Correct")</f>
        <v>0</v>
      </c>
      <c r="U105" s="32">
        <v>0</v>
      </c>
      <c r="V105" s="32">
        <v>1</v>
      </c>
      <c r="W105" s="32">
        <v>0</v>
      </c>
      <c r="X105" s="32">
        <v>0</v>
      </c>
      <c r="Y105" s="32">
        <v>0</v>
      </c>
      <c r="Z105" s="32"/>
      <c r="AA105" s="32"/>
    </row>
    <row r="106" spans="2:27" ht="21.95" customHeight="1">
      <c r="B106" s="33" t="s">
        <v>480</v>
      </c>
      <c r="C106" s="96"/>
      <c r="D106" s="96"/>
      <c r="E106" s="96"/>
      <c r="F106" s="96"/>
      <c r="G106" s="96"/>
      <c r="H106" s="96"/>
      <c r="I106" s="83" t="str">
        <f>IF(SUMIFS($S$10:$S$609,$O$10:$O$609,8)=0,"—",SUMIFS($T$10:$T$609,$O$10:$O$609,8)&amp;"/"&amp;SUMIFS($S$10:$S$609,$O$10:$O$609,8))</f>
        <v>0/30</v>
      </c>
      <c r="J106" s="97" t="str">
        <f>IF(SUMIFS($S$10:$S$609,$O$10:$O$609,8)=0,"",IF(SUMIFS($T$10:$T$609,$O$10:$O$609,8)=0,"0%",SUMIFS($T$10:$T$609,$O$10:$O$609,8)/SUMIFS($S$10:$S$609,$O$10:$O$609,8)))</f>
        <v>0%</v>
      </c>
      <c r="N106" s="32"/>
      <c r="O106" s="32">
        <v>5</v>
      </c>
      <c r="P106" s="32" t="s">
        <v>478</v>
      </c>
      <c r="Q106" s="32" t="s">
        <v>481</v>
      </c>
      <c r="R106" s="32">
        <v>1</v>
      </c>
      <c r="S106" s="32">
        <f t="shared" si="1"/>
        <v>1</v>
      </c>
      <c r="T106" s="32">
        <f>--('Ch.5 - Manipuler le texte'!I245="✓ Correct")</f>
        <v>0</v>
      </c>
      <c r="U106" s="32">
        <v>0</v>
      </c>
      <c r="V106" s="32">
        <v>1</v>
      </c>
      <c r="W106" s="32">
        <v>0</v>
      </c>
      <c r="X106" s="32">
        <v>0</v>
      </c>
      <c r="Y106" s="32">
        <v>0</v>
      </c>
      <c r="Z106" s="32"/>
      <c r="AA106" s="32"/>
    </row>
    <row r="107" spans="2:27" ht="33.950000000000003" customHeight="1">
      <c r="B107" s="35" t="s">
        <v>482</v>
      </c>
      <c r="C107" s="34" t="s">
        <v>483</v>
      </c>
      <c r="D107" s="36" t="str">
        <f>IF(COUNTIFS($P$10:$P$609,"C08E01",$R$10:$R$609,1,$U$10:$U$609,1)&gt;0,"●","")</f>
        <v>●</v>
      </c>
      <c r="E107" s="37" t="str">
        <f>IF(COUNTIFS($P$10:$P$609,"C08E01",$R$10:$R$609,1,$V$10:$V$609,1)&gt;0,"●","")</f>
        <v/>
      </c>
      <c r="F107" s="38" t="str">
        <f>IF(COUNTIFS($P$10:$P$609,"C08E01",$R$10:$R$609,1,$W$10:$W$609,1)&gt;0,"●","")</f>
        <v/>
      </c>
      <c r="G107" s="39" t="str">
        <f>IF(COUNTIFS($P$10:$P$609,"C08E01",$R$10:$R$609,1,$X$10:$X$609,1)&gt;0,"●","")</f>
        <v/>
      </c>
      <c r="H107" s="40" t="str">
        <f>IF(COUNTIFS($P$10:$P$609,"C08E01",$R$10:$R$609,1,$Y$10:$Y$609,1)&gt;0,"●","")</f>
        <v/>
      </c>
      <c r="I107" s="92" t="str">
        <f>IF(SUMIFS($S$10:$S$609,$P$10:$P$609,"C08E01")=0,"—",SUMIFS($T$10:$T$609,$P$10:$P$609,"C08E01")&amp;"/"&amp;SUMIFS($S$10:$S$609,$P$10:$P$609,"C08E01"))</f>
        <v>0/4</v>
      </c>
      <c r="J107" s="91" t="str">
        <f>IF(SUMIFS($S$10:$S$609,$P$10:$P$609,"C08E01")=0,"",IF(SUMIFS($T$10:$T$609,$P$10:$P$609,"C08E01")=0,"0%",SUMIFS($T$10:$T$609,$P$10:$P$609,"C08E01")/SUMIFS($S$10:$S$609,$P$10:$P$609,"C08E01")))</f>
        <v>0%</v>
      </c>
      <c r="N107" s="32"/>
      <c r="O107" s="32">
        <v>5</v>
      </c>
      <c r="P107" s="32" t="s">
        <v>484</v>
      </c>
      <c r="Q107" s="32" t="s">
        <v>485</v>
      </c>
      <c r="R107" s="32">
        <v>1</v>
      </c>
      <c r="S107" s="32">
        <f t="shared" si="1"/>
        <v>1</v>
      </c>
      <c r="T107" s="32">
        <f>--('Ch.5 - Manipuler le texte'!I257="✓ Correct")</f>
        <v>0</v>
      </c>
      <c r="U107" s="32">
        <v>0</v>
      </c>
      <c r="V107" s="32">
        <v>0</v>
      </c>
      <c r="W107" s="32">
        <v>0</v>
      </c>
      <c r="X107" s="32">
        <v>1</v>
      </c>
      <c r="Y107" s="32">
        <v>0</v>
      </c>
      <c r="Z107" s="32"/>
      <c r="AA107" s="32"/>
    </row>
    <row r="108" spans="2:27" ht="33.950000000000003" customHeight="1">
      <c r="B108" s="35" t="s">
        <v>486</v>
      </c>
      <c r="C108" s="34" t="s">
        <v>487</v>
      </c>
      <c r="D108" s="36" t="str">
        <f>IF(COUNTIFS($P$10:$P$609,"C08E02",$R$10:$R$609,1,$U$10:$U$609,1)&gt;0,"●","")</f>
        <v>●</v>
      </c>
      <c r="E108" s="37" t="str">
        <f>IF(COUNTIFS($P$10:$P$609,"C08E02",$R$10:$R$609,1,$V$10:$V$609,1)&gt;0,"●","")</f>
        <v>●</v>
      </c>
      <c r="F108" s="38" t="str">
        <f>IF(COUNTIFS($P$10:$P$609,"C08E02",$R$10:$R$609,1,$W$10:$W$609,1)&gt;0,"●","")</f>
        <v>●</v>
      </c>
      <c r="G108" s="39" t="str">
        <f>IF(COUNTIFS($P$10:$P$609,"C08E02",$R$10:$R$609,1,$X$10:$X$609,1)&gt;0,"●","")</f>
        <v/>
      </c>
      <c r="H108" s="40" t="str">
        <f>IF(COUNTIFS($P$10:$P$609,"C08E02",$R$10:$R$609,1,$Y$10:$Y$609,1)&gt;0,"●","")</f>
        <v/>
      </c>
      <c r="I108" s="80" t="str">
        <f>IF(SUMIFS($S$10:$S$609,$P$10:$P$609,"C08E02")=0,"—",SUMIFS($T$10:$T$609,$P$10:$P$609,"C08E02")&amp;"/"&amp;SUMIFS($S$10:$S$609,$P$10:$P$609,"C08E02"))</f>
        <v>0/4</v>
      </c>
      <c r="J108" s="87" t="str">
        <f>IF(SUMIFS($S$10:$S$609,$P$10:$P$609,"C08E02")=0,"",IF(SUMIFS($T$10:$T$609,$P$10:$P$609,"C08E02")=0,"0%",SUMIFS($T$10:$T$609,$P$10:$P$609,"C08E02")/SUMIFS($S$10:$S$609,$P$10:$P$609,"C08E02")))</f>
        <v>0%</v>
      </c>
      <c r="N108" s="32"/>
      <c r="O108" s="32">
        <v>5</v>
      </c>
      <c r="P108" s="32" t="s">
        <v>488</v>
      </c>
      <c r="Q108" s="32" t="s">
        <v>489</v>
      </c>
      <c r="R108" s="32">
        <v>1</v>
      </c>
      <c r="S108" s="32">
        <f t="shared" si="1"/>
        <v>1</v>
      </c>
      <c r="T108" s="32">
        <f>--('Ch.5 - Manipuler le texte'!I269="✓ Correct")</f>
        <v>0</v>
      </c>
      <c r="U108" s="32">
        <v>0</v>
      </c>
      <c r="V108" s="32">
        <v>0</v>
      </c>
      <c r="W108" s="32">
        <v>0</v>
      </c>
      <c r="X108" s="32">
        <v>1</v>
      </c>
      <c r="Y108" s="32">
        <v>0</v>
      </c>
      <c r="Z108" s="32"/>
      <c r="AA108" s="32"/>
    </row>
    <row r="109" spans="2:27" ht="33.950000000000003" customHeight="1">
      <c r="B109" s="35" t="s">
        <v>490</v>
      </c>
      <c r="C109" s="34" t="s">
        <v>491</v>
      </c>
      <c r="D109" s="36" t="str">
        <f>IF(COUNTIFS($P$10:$P$609,"C08E03",$R$10:$R$609,1,$U$10:$U$609,1)&gt;0,"●","")</f>
        <v>●</v>
      </c>
      <c r="E109" s="37" t="str">
        <f>IF(COUNTIFS($P$10:$P$609,"C08E03",$R$10:$R$609,1,$V$10:$V$609,1)&gt;0,"●","")</f>
        <v/>
      </c>
      <c r="F109" s="38" t="str">
        <f>IF(COUNTIFS($P$10:$P$609,"C08E03",$R$10:$R$609,1,$W$10:$W$609,1)&gt;0,"●","")</f>
        <v>●</v>
      </c>
      <c r="G109" s="39" t="str">
        <f>IF(COUNTIFS($P$10:$P$609,"C08E03",$R$10:$R$609,1,$X$10:$X$609,1)&gt;0,"●","")</f>
        <v>●</v>
      </c>
      <c r="H109" s="40" t="str">
        <f>IF(COUNTIFS($P$10:$P$609,"C08E03",$R$10:$R$609,1,$Y$10:$Y$609,1)&gt;0,"●","")</f>
        <v/>
      </c>
      <c r="I109" s="80" t="str">
        <f>IF(SUMIFS($S$10:$S$609,$P$10:$P$609,"C08E03")=0,"—",SUMIFS($T$10:$T$609,$P$10:$P$609,"C08E03")&amp;"/"&amp;SUMIFS($S$10:$S$609,$P$10:$P$609,"C08E03"))</f>
        <v>0/3</v>
      </c>
      <c r="J109" s="87" t="str">
        <f>IF(SUMIFS($S$10:$S$609,$P$10:$P$609,"C08E03")=0,"",IF(SUMIFS($T$10:$T$609,$P$10:$P$609,"C08E03")=0,"0%",SUMIFS($T$10:$T$609,$P$10:$P$609,"C08E03")/SUMIFS($S$10:$S$609,$P$10:$P$609,"C08E03")))</f>
        <v>0%</v>
      </c>
      <c r="N109" s="32"/>
      <c r="O109" s="32">
        <v>5</v>
      </c>
      <c r="P109" s="32" t="s">
        <v>492</v>
      </c>
      <c r="Q109" s="32" t="s">
        <v>493</v>
      </c>
      <c r="R109" s="32">
        <v>1</v>
      </c>
      <c r="S109" s="32">
        <f t="shared" si="1"/>
        <v>1</v>
      </c>
      <c r="T109" s="32">
        <f>--('Ch.5 - Manipuler le texte'!I281="✓ Correct")</f>
        <v>0</v>
      </c>
      <c r="U109" s="32">
        <v>0</v>
      </c>
      <c r="V109" s="32">
        <v>1</v>
      </c>
      <c r="W109" s="32">
        <v>0</v>
      </c>
      <c r="X109" s="32">
        <v>0</v>
      </c>
      <c r="Y109" s="32">
        <v>0</v>
      </c>
      <c r="Z109" s="32"/>
      <c r="AA109" s="32"/>
    </row>
    <row r="110" spans="2:27" ht="33.950000000000003" customHeight="1">
      <c r="B110" s="35" t="s">
        <v>494</v>
      </c>
      <c r="C110" s="34" t="s">
        <v>495</v>
      </c>
      <c r="D110" s="36" t="str">
        <f>IF(COUNTIFS($P$10:$P$609,"C08E04",$R$10:$R$609,1,$U$10:$U$609,1)&gt;0,"●","")</f>
        <v>●</v>
      </c>
      <c r="E110" s="37" t="str">
        <f>IF(COUNTIFS($P$10:$P$609,"C08E04",$R$10:$R$609,1,$V$10:$V$609,1)&gt;0,"●","")</f>
        <v/>
      </c>
      <c r="F110" s="38" t="str">
        <f>IF(COUNTIFS($P$10:$P$609,"C08E04",$R$10:$R$609,1,$W$10:$W$609,1)&gt;0,"●","")</f>
        <v>●</v>
      </c>
      <c r="G110" s="39" t="str">
        <f>IF(COUNTIFS($P$10:$P$609,"C08E04",$R$10:$R$609,1,$X$10:$X$609,1)&gt;0,"●","")</f>
        <v/>
      </c>
      <c r="H110" s="40" t="str">
        <f>IF(COUNTIFS($P$10:$P$609,"C08E04",$R$10:$R$609,1,$Y$10:$Y$609,1)&gt;0,"●","")</f>
        <v/>
      </c>
      <c r="I110" s="80" t="str">
        <f>IF(SUMIFS($S$10:$S$609,$P$10:$P$609,"C08E04")=0,"—",SUMIFS($T$10:$T$609,$P$10:$P$609,"C08E04")&amp;"/"&amp;SUMIFS($S$10:$S$609,$P$10:$P$609,"C08E04"))</f>
        <v>0/4</v>
      </c>
      <c r="J110" s="87" t="str">
        <f>IF(SUMIFS($S$10:$S$609,$P$10:$P$609,"C08E04")=0,"",IF(SUMIFS($T$10:$T$609,$P$10:$P$609,"C08E04")=0,"0%",SUMIFS($T$10:$T$609,$P$10:$P$609,"C08E04")/SUMIFS($S$10:$S$609,$P$10:$P$609,"C08E04")))</f>
        <v>0%</v>
      </c>
      <c r="N110" s="32"/>
      <c r="O110" s="32">
        <v>5</v>
      </c>
      <c r="P110" s="32" t="s">
        <v>492</v>
      </c>
      <c r="Q110" s="32" t="s">
        <v>496</v>
      </c>
      <c r="R110" s="32">
        <v>1</v>
      </c>
      <c r="S110" s="32">
        <f t="shared" si="1"/>
        <v>1</v>
      </c>
      <c r="T110" s="32">
        <f>--('Ch.5 - Manipuler le texte'!I291="✓ Correct")</f>
        <v>0</v>
      </c>
      <c r="U110" s="32">
        <v>0</v>
      </c>
      <c r="V110" s="32">
        <v>0</v>
      </c>
      <c r="W110" s="32">
        <v>0</v>
      </c>
      <c r="X110" s="32">
        <v>1</v>
      </c>
      <c r="Y110" s="32">
        <v>0</v>
      </c>
      <c r="Z110" s="32"/>
      <c r="AA110" s="32"/>
    </row>
    <row r="111" spans="2:27" ht="33.950000000000003" customHeight="1">
      <c r="B111" s="35" t="s">
        <v>497</v>
      </c>
      <c r="C111" s="34" t="s">
        <v>498</v>
      </c>
      <c r="D111" s="36" t="str">
        <f>IF(COUNTIFS($P$10:$P$609,"C08E05",$R$10:$R$609,1,$U$10:$U$609,1)&gt;0,"●","")</f>
        <v>●</v>
      </c>
      <c r="E111" s="37" t="str">
        <f>IF(COUNTIFS($P$10:$P$609,"C08E05",$R$10:$R$609,1,$V$10:$V$609,1)&gt;0,"●","")</f>
        <v/>
      </c>
      <c r="F111" s="38" t="str">
        <f>IF(COUNTIFS($P$10:$P$609,"C08E05",$R$10:$R$609,1,$W$10:$W$609,1)&gt;0,"●","")</f>
        <v/>
      </c>
      <c r="G111" s="39" t="str">
        <f>IF(COUNTIFS($P$10:$P$609,"C08E05",$R$10:$R$609,1,$X$10:$X$609,1)&gt;0,"●","")</f>
        <v/>
      </c>
      <c r="H111" s="40" t="str">
        <f>IF(COUNTIFS($P$10:$P$609,"C08E05",$R$10:$R$609,1,$Y$10:$Y$609,1)&gt;0,"●","")</f>
        <v/>
      </c>
      <c r="I111" s="80" t="str">
        <f>IF(SUMIFS($S$10:$S$609,$P$10:$P$609,"C08E05")=0,"—",SUMIFS($T$10:$T$609,$P$10:$P$609,"C08E05")&amp;"/"&amp;SUMIFS($S$10:$S$609,$P$10:$P$609,"C08E05"))</f>
        <v>0/2</v>
      </c>
      <c r="J111" s="87" t="str">
        <f>IF(SUMIFS($S$10:$S$609,$P$10:$P$609,"C08E05")=0,"",IF(SUMIFS($T$10:$T$609,$P$10:$P$609,"C08E05")=0,"0%",SUMIFS($T$10:$T$609,$P$10:$P$609,"C08E05")/SUMIFS($S$10:$S$609,$P$10:$P$609,"C08E05")))</f>
        <v>0%</v>
      </c>
      <c r="N111" s="32"/>
      <c r="O111" s="32">
        <v>5</v>
      </c>
      <c r="P111" s="32" t="s">
        <v>499</v>
      </c>
      <c r="Q111" s="32" t="s">
        <v>500</v>
      </c>
      <c r="R111" s="32">
        <v>1</v>
      </c>
      <c r="S111" s="32">
        <f t="shared" si="1"/>
        <v>1</v>
      </c>
      <c r="T111" s="32">
        <f>--('Ch.5 - Manipuler le texte'!I303="✓ Correct")</f>
        <v>0</v>
      </c>
      <c r="U111" s="32">
        <v>1</v>
      </c>
      <c r="V111" s="32">
        <v>0</v>
      </c>
      <c r="W111" s="32">
        <v>0</v>
      </c>
      <c r="X111" s="32">
        <v>0</v>
      </c>
      <c r="Y111" s="32">
        <v>0</v>
      </c>
      <c r="Z111" s="32"/>
      <c r="AA111" s="32"/>
    </row>
    <row r="112" spans="2:27" ht="33.950000000000003" customHeight="1">
      <c r="B112" s="35" t="s">
        <v>501</v>
      </c>
      <c r="C112" s="34" t="s">
        <v>502</v>
      </c>
      <c r="D112" s="36" t="str">
        <f>IF(COUNTIFS($P$10:$P$609,"C08E06",$R$10:$R$609,1,$U$10:$U$609,1)&gt;0,"●","")</f>
        <v/>
      </c>
      <c r="E112" s="37" t="str">
        <f>IF(COUNTIFS($P$10:$P$609,"C08E06",$R$10:$R$609,1,$V$10:$V$609,1)&gt;0,"●","")</f>
        <v/>
      </c>
      <c r="F112" s="38" t="str">
        <f>IF(COUNTIFS($P$10:$P$609,"C08E06",$R$10:$R$609,1,$W$10:$W$609,1)&gt;0,"●","")</f>
        <v>●</v>
      </c>
      <c r="G112" s="39" t="str">
        <f>IF(COUNTIFS($P$10:$P$609,"C08E06",$R$10:$R$609,1,$X$10:$X$609,1)&gt;0,"●","")</f>
        <v/>
      </c>
      <c r="H112" s="40" t="str">
        <f>IF(COUNTIFS($P$10:$P$609,"C08E06",$R$10:$R$609,1,$Y$10:$Y$609,1)&gt;0,"●","")</f>
        <v/>
      </c>
      <c r="I112" s="80" t="str">
        <f>IF(SUMIFS($S$10:$S$609,$P$10:$P$609,"C08E06")=0,"—",SUMIFS($T$10:$T$609,$P$10:$P$609,"C08E06")&amp;"/"&amp;SUMIFS($S$10:$S$609,$P$10:$P$609,"C08E06"))</f>
        <v>0/3</v>
      </c>
      <c r="J112" s="87" t="str">
        <f>IF(SUMIFS($S$10:$S$609,$P$10:$P$609,"C08E06")=0,"",IF(SUMIFS($T$10:$T$609,$P$10:$P$609,"C08E06")=0,"0%",SUMIFS($T$10:$T$609,$P$10:$P$609,"C08E06")/SUMIFS($S$10:$S$609,$P$10:$P$609,"C08E06")))</f>
        <v>0%</v>
      </c>
      <c r="N112" s="32"/>
      <c r="O112" s="32">
        <v>6</v>
      </c>
      <c r="P112" s="32" t="s">
        <v>503</v>
      </c>
      <c r="Q112" s="32" t="s">
        <v>504</v>
      </c>
      <c r="R112" s="32">
        <v>1</v>
      </c>
      <c r="S112" s="32">
        <f t="shared" si="1"/>
        <v>1</v>
      </c>
      <c r="T112" s="32">
        <f>--('Ch.6 - Rechercher une info'!I28="✓ Correct")</f>
        <v>0</v>
      </c>
      <c r="U112" s="32">
        <v>1</v>
      </c>
      <c r="V112" s="32">
        <v>0</v>
      </c>
      <c r="W112" s="32">
        <v>0</v>
      </c>
      <c r="X112" s="32">
        <v>0</v>
      </c>
      <c r="Y112" s="32">
        <v>0</v>
      </c>
      <c r="Z112" s="32"/>
      <c r="AA112" s="32"/>
    </row>
    <row r="113" spans="2:27" ht="33.950000000000003" customHeight="1">
      <c r="B113" s="35" t="s">
        <v>505</v>
      </c>
      <c r="C113" s="34" t="s">
        <v>506</v>
      </c>
      <c r="D113" s="36" t="str">
        <f>IF(COUNTIFS($P$10:$P$609,"C08E07",$R$10:$R$609,1,$U$10:$U$609,1)&gt;0,"●","")</f>
        <v>●</v>
      </c>
      <c r="E113" s="37" t="str">
        <f>IF(COUNTIFS($P$10:$P$609,"C08E07",$R$10:$R$609,1,$V$10:$V$609,1)&gt;0,"●","")</f>
        <v>●</v>
      </c>
      <c r="F113" s="38" t="str">
        <f>IF(COUNTIFS($P$10:$P$609,"C08E07",$R$10:$R$609,1,$W$10:$W$609,1)&gt;0,"●","")</f>
        <v>●</v>
      </c>
      <c r="G113" s="39" t="str">
        <f>IF(COUNTIFS($P$10:$P$609,"C08E07",$R$10:$R$609,1,$X$10:$X$609,1)&gt;0,"●","")</f>
        <v/>
      </c>
      <c r="H113" s="40" t="str">
        <f>IF(COUNTIFS($P$10:$P$609,"C08E07",$R$10:$R$609,1,$Y$10:$Y$609,1)&gt;0,"●","")</f>
        <v/>
      </c>
      <c r="I113" s="80" t="str">
        <f>IF(SUMIFS($S$10:$S$609,$P$10:$P$609,"C08E07")=0,"—",SUMIFS($T$10:$T$609,$P$10:$P$609,"C08E07")&amp;"/"&amp;SUMIFS($S$10:$S$609,$P$10:$P$609,"C08E07"))</f>
        <v>0/3</v>
      </c>
      <c r="J113" s="87" t="str">
        <f>IF(SUMIFS($S$10:$S$609,$P$10:$P$609,"C08E07")=0,"",IF(SUMIFS($T$10:$T$609,$P$10:$P$609,"C08E07")=0,"0%",SUMIFS($T$10:$T$609,$P$10:$P$609,"C08E07")/SUMIFS($S$10:$S$609,$P$10:$P$609,"C08E07")))</f>
        <v>0%</v>
      </c>
      <c r="N113" s="32"/>
      <c r="O113" s="32">
        <v>6</v>
      </c>
      <c r="P113" s="32" t="s">
        <v>503</v>
      </c>
      <c r="Q113" s="32" t="s">
        <v>507</v>
      </c>
      <c r="R113" s="32">
        <v>1</v>
      </c>
      <c r="S113" s="32">
        <f t="shared" si="1"/>
        <v>1</v>
      </c>
      <c r="T113" s="32">
        <f>--('Ch.6 - Rechercher une info'!I48="✓ Correct")</f>
        <v>0</v>
      </c>
      <c r="U113" s="32">
        <v>1</v>
      </c>
      <c r="V113" s="32">
        <v>0</v>
      </c>
      <c r="W113" s="32">
        <v>0</v>
      </c>
      <c r="X113" s="32">
        <v>0</v>
      </c>
      <c r="Y113" s="32">
        <v>0</v>
      </c>
      <c r="Z113" s="32"/>
      <c r="AA113" s="32"/>
    </row>
    <row r="114" spans="2:27" ht="33.950000000000003" customHeight="1">
      <c r="B114" s="35" t="s">
        <v>508</v>
      </c>
      <c r="C114" s="34" t="s">
        <v>509</v>
      </c>
      <c r="D114" s="36" t="str">
        <f>IF(COUNTIFS($P$10:$P$609,"C08E08",$R$10:$R$609,1,$U$10:$U$609,1)&gt;0,"●","")</f>
        <v/>
      </c>
      <c r="E114" s="37" t="str">
        <f>IF(COUNTIFS($P$10:$P$609,"C08E08",$R$10:$R$609,1,$V$10:$V$609,1)&gt;0,"●","")</f>
        <v/>
      </c>
      <c r="F114" s="38" t="str">
        <f>IF(COUNTIFS($P$10:$P$609,"C08E08",$R$10:$R$609,1,$W$10:$W$609,1)&gt;0,"●","")</f>
        <v>●</v>
      </c>
      <c r="G114" s="39" t="str">
        <f>IF(COUNTIFS($P$10:$P$609,"C08E08",$R$10:$R$609,1,$X$10:$X$609,1)&gt;0,"●","")</f>
        <v/>
      </c>
      <c r="H114" s="40" t="str">
        <f>IF(COUNTIFS($P$10:$P$609,"C08E08",$R$10:$R$609,1,$Y$10:$Y$609,1)&gt;0,"●","")</f>
        <v/>
      </c>
      <c r="I114" s="80" t="str">
        <f>IF(SUMIFS($S$10:$S$609,$P$10:$P$609,"C08E08")=0,"—",SUMIFS($T$10:$T$609,$P$10:$P$609,"C08E08")&amp;"/"&amp;SUMIFS($S$10:$S$609,$P$10:$P$609,"C08E08"))</f>
        <v>0/4</v>
      </c>
      <c r="J114" s="87" t="str">
        <f>IF(SUMIFS($S$10:$S$609,$P$10:$P$609,"C08E08")=0,"",IF(SUMIFS($T$10:$T$609,$P$10:$P$609,"C08E08")=0,"0%",SUMIFS($T$10:$T$609,$P$10:$P$609,"C08E08")/SUMIFS($S$10:$S$609,$P$10:$P$609,"C08E08")))</f>
        <v>0%</v>
      </c>
      <c r="N114" s="32"/>
      <c r="O114" s="32">
        <v>6</v>
      </c>
      <c r="P114" s="32" t="s">
        <v>510</v>
      </c>
      <c r="Q114" s="32" t="s">
        <v>511</v>
      </c>
      <c r="R114" s="32">
        <v>1</v>
      </c>
      <c r="S114" s="32">
        <f t="shared" si="1"/>
        <v>1</v>
      </c>
      <c r="T114" s="32">
        <f>--('Ch.6 - Rechercher une info'!I70="✓ Correct")</f>
        <v>0</v>
      </c>
      <c r="U114" s="32">
        <v>1</v>
      </c>
      <c r="V114" s="32">
        <v>0</v>
      </c>
      <c r="W114" s="32">
        <v>0</v>
      </c>
      <c r="X114" s="32">
        <v>0</v>
      </c>
      <c r="Y114" s="32">
        <v>0</v>
      </c>
      <c r="Z114" s="32"/>
      <c r="AA114" s="32"/>
    </row>
    <row r="115" spans="2:27" ht="33.950000000000003" customHeight="1">
      <c r="B115" s="35" t="s">
        <v>512</v>
      </c>
      <c r="C115" s="34" t="s">
        <v>513</v>
      </c>
      <c r="D115" s="36" t="str">
        <f>IF(COUNTIFS($P$10:$P$609,"C08E09",$R$10:$R$609,1,$U$10:$U$609,1)&gt;0,"●","")</f>
        <v>●</v>
      </c>
      <c r="E115" s="37" t="str">
        <f>IF(COUNTIFS($P$10:$P$609,"C08E09",$R$10:$R$609,1,$V$10:$V$609,1)&gt;0,"●","")</f>
        <v/>
      </c>
      <c r="F115" s="38" t="str">
        <f>IF(COUNTIFS($P$10:$P$609,"C08E09",$R$10:$R$609,1,$W$10:$W$609,1)&gt;0,"●","")</f>
        <v/>
      </c>
      <c r="G115" s="39" t="str">
        <f>IF(COUNTIFS($P$10:$P$609,"C08E09",$R$10:$R$609,1,$X$10:$X$609,1)&gt;0,"●","")</f>
        <v/>
      </c>
      <c r="H115" s="40" t="str">
        <f>IF(COUNTIFS($P$10:$P$609,"C08E09",$R$10:$R$609,1,$Y$10:$Y$609,1)&gt;0,"●","")</f>
        <v/>
      </c>
      <c r="I115" s="80" t="str">
        <f>IF(SUMIFS($S$10:$S$609,$P$10:$P$609,"C08E09")=0,"—",SUMIFS($T$10:$T$609,$P$10:$P$609,"C08E09")&amp;"/"&amp;SUMIFS($S$10:$S$609,$P$10:$P$609,"C08E09"))</f>
        <v>0/3</v>
      </c>
      <c r="J115" s="87" t="str">
        <f>IF(SUMIFS($S$10:$S$609,$P$10:$P$609,"C08E09")=0,"",IF(SUMIFS($T$10:$T$609,$P$10:$P$609,"C08E09")=0,"0%",SUMIFS($T$10:$T$609,$P$10:$P$609,"C08E09")/SUMIFS($S$10:$S$609,$P$10:$P$609,"C08E09")))</f>
        <v>0%</v>
      </c>
      <c r="N115" s="32"/>
      <c r="O115" s="32">
        <v>6</v>
      </c>
      <c r="P115" s="32" t="s">
        <v>510</v>
      </c>
      <c r="Q115" s="32" t="s">
        <v>514</v>
      </c>
      <c r="R115" s="32">
        <v>1</v>
      </c>
      <c r="S115" s="32">
        <f t="shared" si="1"/>
        <v>1</v>
      </c>
      <c r="T115" s="32">
        <f>--('Ch.6 - Rechercher une info'!I83="✓ Correct")</f>
        <v>0</v>
      </c>
      <c r="U115" s="32">
        <v>1</v>
      </c>
      <c r="V115" s="32">
        <v>0</v>
      </c>
      <c r="W115" s="32">
        <v>0</v>
      </c>
      <c r="X115" s="32">
        <v>0</v>
      </c>
      <c r="Y115" s="32">
        <v>0</v>
      </c>
      <c r="Z115" s="32"/>
      <c r="AA115" s="32"/>
    </row>
    <row r="116" spans="2:27" ht="8.1" customHeight="1">
      <c r="N116" s="32"/>
      <c r="O116" s="32">
        <v>6</v>
      </c>
      <c r="P116" s="32" t="s">
        <v>515</v>
      </c>
      <c r="Q116" s="32" t="s">
        <v>516</v>
      </c>
      <c r="R116" s="32">
        <v>1</v>
      </c>
      <c r="S116" s="32">
        <f t="shared" si="1"/>
        <v>1</v>
      </c>
      <c r="T116" s="32">
        <f>--('Ch.6 - Rechercher une info'!I103="✓ Correct")</f>
        <v>0</v>
      </c>
      <c r="U116" s="32">
        <v>1</v>
      </c>
      <c r="V116" s="32">
        <v>0</v>
      </c>
      <c r="W116" s="32">
        <v>0</v>
      </c>
      <c r="X116" s="32">
        <v>0</v>
      </c>
      <c r="Y116" s="32">
        <v>0</v>
      </c>
      <c r="Z116" s="32"/>
      <c r="AA116" s="32"/>
    </row>
    <row r="117" spans="2:27" ht="24" customHeight="1">
      <c r="B117" s="33" t="s">
        <v>517</v>
      </c>
      <c r="C117" s="33"/>
      <c r="D117" s="33"/>
      <c r="E117" s="33"/>
      <c r="F117" s="33"/>
      <c r="G117" s="33"/>
      <c r="H117" s="33"/>
      <c r="I117" s="230" t="str">
        <f>IF(SUMIFS($S$10:$S$609,$O$10:$O$609,9)=0,"—",SUMIFS($T$10:$T$609,$O$10:$O$609,9)&amp;"/"&amp;SUMIFS($S$10:$S$609,$O$10:$O$609,9))</f>
        <v>0/30</v>
      </c>
      <c r="J117" s="231" t="str">
        <f>IF(SUMIFS($S$10:$S$609,$O$10:$O$609,9)=0,"",IF(SUMIFS($T$10:$T$609,$O$10:$O$609,9)=0,"0%",SUMIFS($T$10:$T$609,$O$10:$O$609,9)/SUMIFS($S$10:$S$609,$O$10:$O$609,9)))</f>
        <v>0%</v>
      </c>
      <c r="N117" s="32"/>
      <c r="O117" s="32">
        <v>6</v>
      </c>
      <c r="P117" s="32" t="s">
        <v>515</v>
      </c>
      <c r="Q117" s="32" t="s">
        <v>518</v>
      </c>
      <c r="R117" s="32">
        <v>1</v>
      </c>
      <c r="S117" s="32">
        <f t="shared" si="1"/>
        <v>1</v>
      </c>
      <c r="T117" s="32">
        <f>--('Ch.6 - Rechercher une info'!I122="✓ Correct")</f>
        <v>0</v>
      </c>
      <c r="U117" s="32">
        <v>1</v>
      </c>
      <c r="V117" s="32">
        <v>0</v>
      </c>
      <c r="W117" s="32">
        <v>0</v>
      </c>
      <c r="X117" s="32">
        <v>0</v>
      </c>
      <c r="Y117" s="32">
        <v>0</v>
      </c>
      <c r="Z117" s="32"/>
      <c r="AA117" s="32"/>
    </row>
    <row r="118" spans="2:27" ht="33.950000000000003" customHeight="1">
      <c r="B118" s="232" t="s">
        <v>519</v>
      </c>
      <c r="C118" s="233" t="s">
        <v>520</v>
      </c>
      <c r="D118" s="234" t="str">
        <f>IF(COUNTIFS($P$10:$P$609,"C09E01",$R$10:$R$609,1,$U$10:$U$609,1)&gt;0,"●","")</f>
        <v>●</v>
      </c>
      <c r="E118" s="235" t="str">
        <f>IF(COUNTIFS($P$10:$P$609,"C09E01",$R$10:$R$609,1,$V$10:$V$609,1)&gt;0,"●","")</f>
        <v/>
      </c>
      <c r="F118" s="236" t="str">
        <f>IF(COUNTIFS($P$10:$P$609,"C09E01",$R$10:$R$609,1,$W$10:$W$609,1)&gt;0,"●","")</f>
        <v/>
      </c>
      <c r="G118" s="237" t="str">
        <f>IF(COUNTIFS($P$10:$P$609,"C09E01",$R$10:$R$609,1,$X$10:$X$609,1)&gt;0,"●","")</f>
        <v/>
      </c>
      <c r="H118" s="238" t="str">
        <f>IF(COUNTIFS($P$10:$P$609,"C09E01",$R$10:$R$609,1,$Y$10:$Y$609,1)&gt;0,"●","")</f>
        <v/>
      </c>
      <c r="I118" s="239" t="str">
        <f>IF(SUMIFS($S$10:$S$609,$P$10:$P$609,"C09E01")=0,"—",SUMIFS($T$10:$T$609,$P$10:$P$609,"C09E01")&amp;"/"&amp;SUMIFS($S$10:$S$609,$P$10:$P$609,"C09E01"))</f>
        <v>0/2</v>
      </c>
      <c r="J118" s="240" t="str">
        <f>IF(SUMIFS($S$10:$S$609,$P$10:$P$609,"C09E01")=0,"",IF(SUMIFS($T$10:$T$609,$P$10:$P$609,"C09E01")=0,"0%",SUMIFS($T$10:$T$609,$P$10:$P$609,"C09E01")/SUMIFS($S$10:$S$609,$P$10:$P$609,"C09E01")))</f>
        <v>0%</v>
      </c>
      <c r="N118" s="32"/>
      <c r="O118" s="32">
        <v>6</v>
      </c>
      <c r="P118" s="32" t="s">
        <v>515</v>
      </c>
      <c r="Q118" s="32" t="s">
        <v>521</v>
      </c>
      <c r="R118" s="32">
        <v>1</v>
      </c>
      <c r="S118" s="32">
        <f t="shared" si="1"/>
        <v>1</v>
      </c>
      <c r="T118" s="32">
        <f>--('Ch.6 - Rechercher une info'!I142="✓ Correct")</f>
        <v>0</v>
      </c>
      <c r="U118" s="32">
        <v>1</v>
      </c>
      <c r="V118" s="32">
        <v>0</v>
      </c>
      <c r="W118" s="32">
        <v>0</v>
      </c>
      <c r="X118" s="32">
        <v>0</v>
      </c>
      <c r="Y118" s="32">
        <v>0</v>
      </c>
      <c r="Z118" s="32"/>
      <c r="AA118" s="32"/>
    </row>
    <row r="119" spans="2:27" ht="24" customHeight="1">
      <c r="B119" s="232" t="s">
        <v>522</v>
      </c>
      <c r="C119" s="233" t="s">
        <v>523</v>
      </c>
      <c r="D119" s="234" t="str">
        <f>IF(COUNTIFS($P$10:$P$609,"C09E02",$R$10:$R$609,1,$U$10:$U$609,1)&gt;0,"●","")</f>
        <v>●</v>
      </c>
      <c r="E119" s="235" t="str">
        <f>IF(COUNTIFS($P$10:$P$609,"C09E02",$R$10:$R$609,1,$V$10:$V$609,1)&gt;0,"●","")</f>
        <v/>
      </c>
      <c r="F119" s="236" t="str">
        <f>IF(COUNTIFS($P$10:$P$609,"C09E02",$R$10:$R$609,1,$W$10:$W$609,1)&gt;0,"●","")</f>
        <v/>
      </c>
      <c r="G119" s="237" t="str">
        <f>IF(COUNTIFS($P$10:$P$609,"C09E02",$R$10:$R$609,1,$X$10:$X$609,1)&gt;0,"●","")</f>
        <v/>
      </c>
      <c r="H119" s="238" t="str">
        <f>IF(COUNTIFS($P$10:$P$609,"C09E02",$R$10:$R$609,1,$Y$10:$Y$609,1)&gt;0,"●","")</f>
        <v/>
      </c>
      <c r="I119" s="241" t="str">
        <f>IF(SUMIFS($S$10:$S$609,$P$10:$P$609,"C09E02")=0,"—",SUMIFS($T$10:$T$609,$P$10:$P$609,"C09E02")&amp;"/"&amp;SUMIFS($S$10:$S$609,$P$10:$P$609,"C09E02"))</f>
        <v>0/3</v>
      </c>
      <c r="J119" s="242" t="str">
        <f>IF(SUMIFS($S$10:$S$609,$P$10:$P$609,"C09E02")=0,"",IF(SUMIFS($T$10:$T$609,$P$10:$P$609,"C09E02")=0,"0%",SUMIFS($T$10:$T$609,$P$10:$P$609,"C09E02")/SUMIFS($S$10:$S$609,$P$10:$P$609,"C09E02")))</f>
        <v>0%</v>
      </c>
      <c r="N119" s="32"/>
      <c r="O119" s="32">
        <v>6</v>
      </c>
      <c r="P119" s="32" t="s">
        <v>515</v>
      </c>
      <c r="Q119" s="32" t="s">
        <v>524</v>
      </c>
      <c r="R119" s="32">
        <v>1</v>
      </c>
      <c r="S119" s="32">
        <f t="shared" si="1"/>
        <v>1</v>
      </c>
      <c r="T119" s="32">
        <f>--('Ch.6 - Rechercher une info'!I161="✓ Correct")</f>
        <v>0</v>
      </c>
      <c r="U119" s="32">
        <v>1</v>
      </c>
      <c r="V119" s="32">
        <v>0</v>
      </c>
      <c r="W119" s="32">
        <v>0</v>
      </c>
      <c r="X119" s="32">
        <v>0</v>
      </c>
      <c r="Y119" s="32">
        <v>0</v>
      </c>
      <c r="Z119" s="32"/>
      <c r="AA119" s="32"/>
    </row>
    <row r="120" spans="2:27" ht="33.950000000000003" customHeight="1">
      <c r="B120" s="232" t="s">
        <v>525</v>
      </c>
      <c r="C120" s="233" t="s">
        <v>526</v>
      </c>
      <c r="D120" s="234" t="str">
        <f>IF(COUNTIFS($P$10:$P$609,"C09E03",$R$10:$R$609,1,$U$10:$U$609,1)&gt;0,"●","")</f>
        <v>●</v>
      </c>
      <c r="E120" s="235" t="str">
        <f>IF(COUNTIFS($P$10:$P$609,"C09E03",$R$10:$R$609,1,$V$10:$V$609,1)&gt;0,"●","")</f>
        <v/>
      </c>
      <c r="F120" s="236" t="str">
        <f>IF(COUNTIFS($P$10:$P$609,"C09E03",$R$10:$R$609,1,$W$10:$W$609,1)&gt;0,"●","")</f>
        <v/>
      </c>
      <c r="G120" s="237" t="str">
        <f>IF(COUNTIFS($P$10:$P$609,"C09E03",$R$10:$R$609,1,$X$10:$X$609,1)&gt;0,"●","")</f>
        <v/>
      </c>
      <c r="H120" s="238" t="str">
        <f>IF(COUNTIFS($P$10:$P$609,"C09E03",$R$10:$R$609,1,$Y$10:$Y$609,1)&gt;0,"●","")</f>
        <v/>
      </c>
      <c r="I120" s="241" t="str">
        <f>IF(SUMIFS($S$10:$S$609,$P$10:$P$609,"C09E03")=0,"—",SUMIFS($T$10:$T$609,$P$10:$P$609,"C09E03")&amp;"/"&amp;SUMIFS($S$10:$S$609,$P$10:$P$609,"C09E03"))</f>
        <v>0/2</v>
      </c>
      <c r="J120" s="242" t="str">
        <f>IF(SUMIFS($S$10:$S$609,$P$10:$P$609,"C09E03")=0,"",IF(SUMIFS($T$10:$T$609,$P$10:$P$609,"C09E03")=0,"0%",SUMIFS($T$10:$T$609,$P$10:$P$609,"C09E03")/SUMIFS($S$10:$S$609,$P$10:$P$609,"C09E03")))</f>
        <v>0%</v>
      </c>
      <c r="N120" s="32"/>
      <c r="O120" s="32">
        <v>6</v>
      </c>
      <c r="P120" s="32" t="s">
        <v>527</v>
      </c>
      <c r="Q120" s="32" t="s">
        <v>528</v>
      </c>
      <c r="R120" s="32">
        <v>1</v>
      </c>
      <c r="S120" s="32">
        <f t="shared" si="1"/>
        <v>1</v>
      </c>
      <c r="T120" s="32">
        <f>--('Ch.6 - Rechercher une info'!I181="✓ Correct")</f>
        <v>0</v>
      </c>
      <c r="U120" s="32">
        <v>1</v>
      </c>
      <c r="V120" s="32">
        <v>0</v>
      </c>
      <c r="W120" s="32">
        <v>0</v>
      </c>
      <c r="X120" s="32">
        <v>0</v>
      </c>
      <c r="Y120" s="32">
        <v>0</v>
      </c>
      <c r="Z120" s="32"/>
      <c r="AA120" s="32"/>
    </row>
    <row r="121" spans="2:27" ht="33.950000000000003" customHeight="1">
      <c r="B121" s="232" t="s">
        <v>529</v>
      </c>
      <c r="C121" s="233" t="s">
        <v>530</v>
      </c>
      <c r="D121" s="234" t="str">
        <f>IF(COUNTIFS($P$10:$P$609,"C09E04",$R$10:$R$609,1,$U$10:$U$609,1)&gt;0,"●","")</f>
        <v>●</v>
      </c>
      <c r="E121" s="235" t="str">
        <f>IF(COUNTIFS($P$10:$P$609,"C09E04",$R$10:$R$609,1,$V$10:$V$609,1)&gt;0,"●","")</f>
        <v/>
      </c>
      <c r="F121" s="236" t="str">
        <f>IF(COUNTIFS($P$10:$P$609,"C09E04",$R$10:$R$609,1,$W$10:$W$609,1)&gt;0,"●","")</f>
        <v>●</v>
      </c>
      <c r="G121" s="237" t="str">
        <f>IF(COUNTIFS($P$10:$P$609,"C09E04",$R$10:$R$609,1,$X$10:$X$609,1)&gt;0,"●","")</f>
        <v/>
      </c>
      <c r="H121" s="238" t="str">
        <f>IF(COUNTIFS($P$10:$P$609,"C09E04",$R$10:$R$609,1,$Y$10:$Y$609,1)&gt;0,"●","")</f>
        <v/>
      </c>
      <c r="I121" s="241" t="str">
        <f>IF(SUMIFS($S$10:$S$609,$P$10:$P$609,"C09E04")=0,"—",SUMIFS($T$10:$T$609,$P$10:$P$609,"C09E04")&amp;"/"&amp;SUMIFS($S$10:$S$609,$P$10:$P$609,"C09E04"))</f>
        <v>0/2</v>
      </c>
      <c r="J121" s="242" t="str">
        <f>IF(SUMIFS($S$10:$S$609,$P$10:$P$609,"C09E04")=0,"",IF(SUMIFS($T$10:$T$609,$P$10:$P$609,"C09E04")=0,"0%",SUMIFS($T$10:$T$609,$P$10:$P$609,"C09E04")/SUMIFS($S$10:$S$609,$P$10:$P$609,"C09E04")))</f>
        <v>0%</v>
      </c>
      <c r="N121" s="32"/>
      <c r="O121" s="32">
        <v>6</v>
      </c>
      <c r="P121" s="32" t="s">
        <v>531</v>
      </c>
      <c r="Q121" s="32" t="s">
        <v>532</v>
      </c>
      <c r="R121" s="32">
        <v>1</v>
      </c>
      <c r="S121" s="32">
        <f t="shared" si="1"/>
        <v>1</v>
      </c>
      <c r="T121" s="32">
        <f>--('Ch.6 - Rechercher une info'!I197="✓ Correct")</f>
        <v>0</v>
      </c>
      <c r="U121" s="32">
        <v>1</v>
      </c>
      <c r="V121" s="32">
        <v>0</v>
      </c>
      <c r="W121" s="32">
        <v>0</v>
      </c>
      <c r="X121" s="32">
        <v>0</v>
      </c>
      <c r="Y121" s="32">
        <v>0</v>
      </c>
      <c r="Z121" s="32"/>
      <c r="AA121" s="32"/>
    </row>
    <row r="122" spans="2:27" ht="33.950000000000003" customHeight="1">
      <c r="B122" s="232" t="s">
        <v>533</v>
      </c>
      <c r="C122" s="233" t="s">
        <v>534</v>
      </c>
      <c r="D122" s="234" t="str">
        <f>IF(COUNTIFS($P$10:$P$609,"C09E05",$R$10:$R$609,1,$U$10:$U$609,1)&gt;0,"●","")</f>
        <v>●</v>
      </c>
      <c r="E122" s="235" t="str">
        <f>IF(COUNTIFS($P$10:$P$609,"C09E05",$R$10:$R$609,1,$V$10:$V$609,1)&gt;0,"●","")</f>
        <v/>
      </c>
      <c r="F122" s="236" t="str">
        <f>IF(COUNTIFS($P$10:$P$609,"C09E05",$R$10:$R$609,1,$W$10:$W$609,1)&gt;0,"●","")</f>
        <v/>
      </c>
      <c r="G122" s="237" t="str">
        <f>IF(COUNTIFS($P$10:$P$609,"C09E05",$R$10:$R$609,1,$X$10:$X$609,1)&gt;0,"●","")</f>
        <v/>
      </c>
      <c r="H122" s="238" t="str">
        <f>IF(COUNTIFS($P$10:$P$609,"C09E05",$R$10:$R$609,1,$Y$10:$Y$609,1)&gt;0,"●","")</f>
        <v/>
      </c>
      <c r="I122" s="241" t="str">
        <f>IF(SUMIFS($S$10:$S$609,$P$10:$P$609,"C09E05")=0,"—",SUMIFS($T$10:$T$609,$P$10:$P$609,"C09E05")&amp;"/"&amp;SUMIFS($S$10:$S$609,$P$10:$P$609,"C09E05"))</f>
        <v>0/2</v>
      </c>
      <c r="J122" s="242" t="str">
        <f>IF(SUMIFS($S$10:$S$609,$P$10:$P$609,"C09E05")=0,"",IF(SUMIFS($T$10:$T$609,$P$10:$P$609,"C09E05")=0,"0%",SUMIFS($T$10:$T$609,$P$10:$P$609,"C09E05")/SUMIFS($S$10:$S$609,$P$10:$P$609,"C09E05")))</f>
        <v>0%</v>
      </c>
      <c r="N122" s="32"/>
      <c r="O122" s="32">
        <v>6</v>
      </c>
      <c r="P122" s="32" t="s">
        <v>531</v>
      </c>
      <c r="Q122" s="32" t="s">
        <v>535</v>
      </c>
      <c r="R122" s="32">
        <v>1</v>
      </c>
      <c r="S122" s="32">
        <f t="shared" si="1"/>
        <v>1</v>
      </c>
      <c r="T122" s="32">
        <f>--('Ch.6 - Rechercher une info'!I216="✓ Correct")</f>
        <v>0</v>
      </c>
      <c r="U122" s="32">
        <v>1</v>
      </c>
      <c r="V122" s="32">
        <v>0</v>
      </c>
      <c r="W122" s="32">
        <v>0</v>
      </c>
      <c r="X122" s="32">
        <v>0</v>
      </c>
      <c r="Y122" s="32">
        <v>0</v>
      </c>
      <c r="Z122" s="32"/>
      <c r="AA122" s="32"/>
    </row>
    <row r="123" spans="2:27" ht="33.950000000000003" customHeight="1">
      <c r="B123" s="232" t="s">
        <v>536</v>
      </c>
      <c r="C123" s="233" t="s">
        <v>537</v>
      </c>
      <c r="D123" s="234" t="str">
        <f>IF(COUNTIFS($P$10:$P$609,"C09E06",$R$10:$R$609,1,$U$10:$U$609,1)&gt;0,"●","")</f>
        <v>●</v>
      </c>
      <c r="E123" s="235" t="str">
        <f>IF(COUNTIFS($P$10:$P$609,"C09E06",$R$10:$R$609,1,$V$10:$V$609,1)&gt;0,"●","")</f>
        <v/>
      </c>
      <c r="F123" s="236" t="str">
        <f>IF(COUNTIFS($P$10:$P$609,"C09E06",$R$10:$R$609,1,$W$10:$W$609,1)&gt;0,"●","")</f>
        <v/>
      </c>
      <c r="G123" s="237" t="str">
        <f>IF(COUNTIFS($P$10:$P$609,"C09E06",$R$10:$R$609,1,$X$10:$X$609,1)&gt;0,"●","")</f>
        <v/>
      </c>
      <c r="H123" s="238" t="str">
        <f>IF(COUNTIFS($P$10:$P$609,"C09E06",$R$10:$R$609,1,$Y$10:$Y$609,1)&gt;0,"●","")</f>
        <v/>
      </c>
      <c r="I123" s="241" t="str">
        <f>IF(SUMIFS($S$10:$S$609,$P$10:$P$609,"C09E06")=0,"—",SUMIFS($T$10:$T$609,$P$10:$P$609,"C09E06")&amp;"/"&amp;SUMIFS($S$10:$S$609,$P$10:$P$609,"C09E06"))</f>
        <v>0/1</v>
      </c>
      <c r="J123" s="242" t="str">
        <f>IF(SUMIFS($S$10:$S$609,$P$10:$P$609,"C09E06")=0,"",IF(SUMIFS($T$10:$T$609,$P$10:$P$609,"C09E06")=0,"0%",SUMIFS($T$10:$T$609,$P$10:$P$609,"C09E06")/SUMIFS($S$10:$S$609,$P$10:$P$609,"C09E06")))</f>
        <v>0%</v>
      </c>
      <c r="N123" s="32"/>
      <c r="O123" s="32">
        <v>6</v>
      </c>
      <c r="P123" s="32" t="s">
        <v>538</v>
      </c>
      <c r="Q123" s="32" t="s">
        <v>539</v>
      </c>
      <c r="R123" s="32">
        <v>1</v>
      </c>
      <c r="S123" s="32">
        <f t="shared" si="1"/>
        <v>1</v>
      </c>
      <c r="T123" s="32">
        <f>--('Ch.6 - Rechercher une info'!I237="✓ Correct")</f>
        <v>0</v>
      </c>
      <c r="U123" s="32">
        <v>1</v>
      </c>
      <c r="V123" s="32">
        <v>0</v>
      </c>
      <c r="W123" s="32">
        <v>0</v>
      </c>
      <c r="X123" s="32">
        <v>0</v>
      </c>
      <c r="Y123" s="32">
        <v>0</v>
      </c>
      <c r="Z123" s="32"/>
      <c r="AA123" s="32"/>
    </row>
    <row r="124" spans="2:27" ht="33.950000000000003" customHeight="1">
      <c r="B124" s="232" t="s">
        <v>540</v>
      </c>
      <c r="C124" s="233" t="s">
        <v>541</v>
      </c>
      <c r="D124" s="234" t="str">
        <f>IF(COUNTIFS($P$10:$P$609,"C09E07",$R$10:$R$609,1,$U$10:$U$609,1)&gt;0,"●","")</f>
        <v>●</v>
      </c>
      <c r="E124" s="235" t="str">
        <f>IF(COUNTIFS($P$10:$P$609,"C09E07",$R$10:$R$609,1,$V$10:$V$609,1)&gt;0,"●","")</f>
        <v/>
      </c>
      <c r="F124" s="236" t="str">
        <f>IF(COUNTIFS($P$10:$P$609,"C09E07",$R$10:$R$609,1,$W$10:$W$609,1)&gt;0,"●","")</f>
        <v/>
      </c>
      <c r="G124" s="237" t="str">
        <f>IF(COUNTIFS($P$10:$P$609,"C09E07",$R$10:$R$609,1,$X$10:$X$609,1)&gt;0,"●","")</f>
        <v/>
      </c>
      <c r="H124" s="238" t="str">
        <f>IF(COUNTIFS($P$10:$P$609,"C09E07",$R$10:$R$609,1,$Y$10:$Y$609,1)&gt;0,"●","")</f>
        <v/>
      </c>
      <c r="I124" s="241" t="str">
        <f>IF(SUMIFS($S$10:$S$609,$P$10:$P$609,"C09E07")=0,"—",SUMIFS($T$10:$T$609,$P$10:$P$609,"C09E07")&amp;"/"&amp;SUMIFS($S$10:$S$609,$P$10:$P$609,"C09E07"))</f>
        <v>0/1</v>
      </c>
      <c r="J124" s="242" t="str">
        <f>IF(SUMIFS($S$10:$S$609,$P$10:$P$609,"C09E07")=0,"",IF(SUMIFS($T$10:$T$609,$P$10:$P$609,"C09E07")=0,"0%",SUMIFS($T$10:$T$609,$P$10:$P$609,"C09E07")/SUMIFS($S$10:$S$609,$P$10:$P$609,"C09E07")))</f>
        <v>0%</v>
      </c>
      <c r="N124" s="32"/>
      <c r="O124" s="32">
        <v>6</v>
      </c>
      <c r="P124" s="32" t="s">
        <v>538</v>
      </c>
      <c r="Q124" s="32" t="s">
        <v>542</v>
      </c>
      <c r="R124" s="32">
        <v>1</v>
      </c>
      <c r="S124" s="32">
        <f t="shared" si="1"/>
        <v>1</v>
      </c>
      <c r="T124" s="32">
        <f>--('Ch.6 - Rechercher une info'!I256="✓ Correct")</f>
        <v>0</v>
      </c>
      <c r="U124" s="32">
        <v>1</v>
      </c>
      <c r="V124" s="32">
        <v>0</v>
      </c>
      <c r="W124" s="32">
        <v>0</v>
      </c>
      <c r="X124" s="32">
        <v>0</v>
      </c>
      <c r="Y124" s="32">
        <v>0</v>
      </c>
      <c r="Z124" s="32"/>
      <c r="AA124" s="32"/>
    </row>
    <row r="125" spans="2:27" ht="33.950000000000003" customHeight="1">
      <c r="B125" s="232" t="s">
        <v>543</v>
      </c>
      <c r="C125" s="233" t="s">
        <v>544</v>
      </c>
      <c r="D125" s="234" t="str">
        <f>IF(COUNTIFS($P$10:$P$609,"C09E08",$R$10:$R$609,1,$U$10:$U$609,1)&gt;0,"●","")</f>
        <v/>
      </c>
      <c r="E125" s="235" t="str">
        <f>IF(COUNTIFS($P$10:$P$609,"C09E08",$R$10:$R$609,1,$V$10:$V$609,1)&gt;0,"●","")</f>
        <v/>
      </c>
      <c r="F125" s="236" t="str">
        <f>IF(COUNTIFS($P$10:$P$609,"C09E08",$R$10:$R$609,1,$W$10:$W$609,1)&gt;0,"●","")</f>
        <v>●</v>
      </c>
      <c r="G125" s="237" t="str">
        <f>IF(COUNTIFS($P$10:$P$609,"C09E08",$R$10:$R$609,1,$X$10:$X$609,1)&gt;0,"●","")</f>
        <v/>
      </c>
      <c r="H125" s="238" t="str">
        <f>IF(COUNTIFS($P$10:$P$609,"C09E08",$R$10:$R$609,1,$Y$10:$Y$609,1)&gt;0,"●","")</f>
        <v/>
      </c>
      <c r="I125" s="241" t="str">
        <f>IF(SUMIFS($S$10:$S$609,$P$10:$P$609,"C09E08")=0,"—",SUMIFS($T$10:$T$609,$P$10:$P$609,"C09E08")&amp;"/"&amp;SUMIFS($S$10:$S$609,$P$10:$P$609,"C09E08"))</f>
        <v>0/3</v>
      </c>
      <c r="J125" s="242" t="str">
        <f>IF(SUMIFS($S$10:$S$609,$P$10:$P$609,"C09E08")=0,"",IF(SUMIFS($T$10:$T$609,$P$10:$P$609,"C09E08")=0,"0%",SUMIFS($T$10:$T$609,$P$10:$P$609,"C09E08")/SUMIFS($S$10:$S$609,$P$10:$P$609,"C09E08")))</f>
        <v>0%</v>
      </c>
      <c r="N125" s="32"/>
      <c r="O125" s="32">
        <v>6</v>
      </c>
      <c r="P125" s="32" t="s">
        <v>545</v>
      </c>
      <c r="Q125" s="32" t="s">
        <v>546</v>
      </c>
      <c r="R125" s="32">
        <v>1</v>
      </c>
      <c r="S125" s="32">
        <f t="shared" si="1"/>
        <v>1</v>
      </c>
      <c r="T125" s="32">
        <f>--('Ch.6 - Rechercher une info'!I275="✓ Correct")</f>
        <v>0</v>
      </c>
      <c r="U125" s="32">
        <v>1</v>
      </c>
      <c r="V125" s="32">
        <v>0</v>
      </c>
      <c r="W125" s="32">
        <v>0</v>
      </c>
      <c r="X125" s="32">
        <v>0</v>
      </c>
      <c r="Y125" s="32">
        <v>0</v>
      </c>
      <c r="Z125" s="32"/>
      <c r="AA125" s="32"/>
    </row>
    <row r="126" spans="2:27" ht="33.950000000000003" customHeight="1">
      <c r="B126" s="232" t="s">
        <v>547</v>
      </c>
      <c r="C126" s="233" t="s">
        <v>548</v>
      </c>
      <c r="D126" s="234" t="str">
        <f>IF(COUNTIFS($P$10:$P$609,"C09E09",$R$10:$R$609,1,$U$10:$U$609,1)&gt;0,"●","")</f>
        <v>●</v>
      </c>
      <c r="E126" s="235" t="str">
        <f>IF(COUNTIFS($P$10:$P$609,"C09E09",$R$10:$R$609,1,$V$10:$V$609,1)&gt;0,"●","")</f>
        <v/>
      </c>
      <c r="F126" s="236" t="str">
        <f>IF(COUNTIFS($P$10:$P$609,"C09E09",$R$10:$R$609,1,$W$10:$W$609,1)&gt;0,"●","")</f>
        <v/>
      </c>
      <c r="G126" s="237" t="str">
        <f>IF(COUNTIFS($P$10:$P$609,"C09E09",$R$10:$R$609,1,$X$10:$X$609,1)&gt;0,"●","")</f>
        <v/>
      </c>
      <c r="H126" s="238" t="str">
        <f>IF(COUNTIFS($P$10:$P$609,"C09E09",$R$10:$R$609,1,$Y$10:$Y$609,1)&gt;0,"●","")</f>
        <v/>
      </c>
      <c r="I126" s="241" t="str">
        <f>IF(SUMIFS($S$10:$S$609,$P$10:$P$609,"C09E09")=0,"—",SUMIFS($T$10:$T$609,$P$10:$P$609,"C09E09")&amp;"/"&amp;SUMIFS($S$10:$S$609,$P$10:$P$609,"C09E09"))</f>
        <v>0/1</v>
      </c>
      <c r="J126" s="242" t="str">
        <f>IF(SUMIFS($S$10:$S$609,$P$10:$P$609,"C09E09")=0,"",IF(SUMIFS($T$10:$T$609,$P$10:$P$609,"C09E09")=0,"0%",SUMIFS($T$10:$T$609,$P$10:$P$609,"C09E09")/SUMIFS($S$10:$S$609,$P$10:$P$609,"C09E09")))</f>
        <v>0%</v>
      </c>
      <c r="N126" s="32"/>
      <c r="O126" s="32">
        <v>6</v>
      </c>
      <c r="P126" s="32" t="s">
        <v>545</v>
      </c>
      <c r="Q126" s="32" t="s">
        <v>549</v>
      </c>
      <c r="R126" s="32">
        <v>1</v>
      </c>
      <c r="S126" s="32">
        <f t="shared" si="1"/>
        <v>1</v>
      </c>
      <c r="T126" s="32">
        <f>--('Ch.6 - Rechercher une info'!I294="✓ Correct")</f>
        <v>0</v>
      </c>
      <c r="U126" s="32">
        <v>1</v>
      </c>
      <c r="V126" s="32">
        <v>0</v>
      </c>
      <c r="W126" s="32">
        <v>0</v>
      </c>
      <c r="X126" s="32">
        <v>0</v>
      </c>
      <c r="Y126" s="32">
        <v>0</v>
      </c>
      <c r="Z126" s="32"/>
      <c r="AA126" s="32"/>
    </row>
    <row r="127" spans="2:27" ht="33.950000000000003" customHeight="1">
      <c r="B127" s="232" t="s">
        <v>550</v>
      </c>
      <c r="C127" s="233" t="s">
        <v>551</v>
      </c>
      <c r="D127" s="234" t="str">
        <f>IF(COUNTIFS($P$10:$P$609,"C09E10",$R$10:$R$609,1,$U$10:$U$609,1)&gt;0,"●","")</f>
        <v>●</v>
      </c>
      <c r="E127" s="235" t="str">
        <f>IF(COUNTIFS($P$10:$P$609,"C09E10",$R$10:$R$609,1,$V$10:$V$609,1)&gt;0,"●","")</f>
        <v/>
      </c>
      <c r="F127" s="236" t="str">
        <f>IF(COUNTIFS($P$10:$P$609,"C09E10",$R$10:$R$609,1,$W$10:$W$609,1)&gt;0,"●","")</f>
        <v/>
      </c>
      <c r="G127" s="237" t="str">
        <f>IF(COUNTIFS($P$10:$P$609,"C09E10",$R$10:$R$609,1,$X$10:$X$609,1)&gt;0,"●","")</f>
        <v/>
      </c>
      <c r="H127" s="238" t="str">
        <f>IF(COUNTIFS($P$10:$P$609,"C09E10",$R$10:$R$609,1,$Y$10:$Y$609,1)&gt;0,"●","")</f>
        <v/>
      </c>
      <c r="I127" s="241" t="str">
        <f>IF(SUMIFS($S$10:$S$609,$P$10:$P$609,"C09E10")=0,"—",SUMIFS($T$10:$T$609,$P$10:$P$609,"C09E10")&amp;"/"&amp;SUMIFS($S$10:$S$609,$P$10:$P$609,"C09E10"))</f>
        <v>0/1</v>
      </c>
      <c r="J127" s="242" t="str">
        <f>IF(SUMIFS($S$10:$S$609,$P$10:$P$609,"C09E10")=0,"",IF(SUMIFS($T$10:$T$609,$P$10:$P$609,"C09E10")=0,"0%",SUMIFS($T$10:$T$609,$P$10:$P$609,"C09E10")/SUMIFS($S$10:$S$609,$P$10:$P$609,"C09E10")))</f>
        <v>0%</v>
      </c>
      <c r="N127" s="32"/>
      <c r="O127" s="32">
        <v>6</v>
      </c>
      <c r="P127" s="32" t="s">
        <v>552</v>
      </c>
      <c r="Q127" s="32" t="s">
        <v>553</v>
      </c>
      <c r="R127" s="32">
        <v>1</v>
      </c>
      <c r="S127" s="32">
        <f t="shared" si="1"/>
        <v>1</v>
      </c>
      <c r="T127" s="32">
        <f>--('Ch.6 - Rechercher une info'!I329="✓ Correct")</f>
        <v>0</v>
      </c>
      <c r="U127" s="32">
        <v>0</v>
      </c>
      <c r="V127" s="32">
        <v>0</v>
      </c>
      <c r="W127" s="32">
        <v>1</v>
      </c>
      <c r="X127" s="32">
        <v>0</v>
      </c>
      <c r="Y127" s="32">
        <v>0</v>
      </c>
      <c r="Z127" s="32"/>
      <c r="AA127" s="32"/>
    </row>
    <row r="128" spans="2:27" ht="33.950000000000003" customHeight="1">
      <c r="B128" s="232" t="s">
        <v>554</v>
      </c>
      <c r="C128" s="233" t="s">
        <v>555</v>
      </c>
      <c r="D128" s="234" t="str">
        <f>IF(COUNTIFS($P$10:$P$609,"C09E11",$R$10:$R$609,1,$U$10:$U$609,1)&gt;0,"●","")</f>
        <v>●</v>
      </c>
      <c r="E128" s="235" t="str">
        <f>IF(COUNTIFS($P$10:$P$609,"C09E11",$R$10:$R$609,1,$V$10:$V$609,1)&gt;0,"●","")</f>
        <v/>
      </c>
      <c r="F128" s="236" t="str">
        <f>IF(COUNTIFS($P$10:$P$609,"C09E11",$R$10:$R$609,1,$W$10:$W$609,1)&gt;0,"●","")</f>
        <v/>
      </c>
      <c r="G128" s="237" t="str">
        <f>IF(COUNTIFS($P$10:$P$609,"C09E11",$R$10:$R$609,1,$X$10:$X$609,1)&gt;0,"●","")</f>
        <v/>
      </c>
      <c r="H128" s="238" t="str">
        <f>IF(COUNTIFS($P$10:$P$609,"C09E11",$R$10:$R$609,1,$Y$10:$Y$609,1)&gt;0,"●","")</f>
        <v/>
      </c>
      <c r="I128" s="241" t="str">
        <f>IF(SUMIFS($S$10:$S$609,$P$10:$P$609,"C09E11")=0,"—",SUMIFS($T$10:$T$609,$P$10:$P$609,"C09E11")&amp;"/"&amp;SUMIFS($S$10:$S$609,$P$10:$P$609,"C09E11"))</f>
        <v>0/1</v>
      </c>
      <c r="J128" s="242" t="str">
        <f>IF(SUMIFS($S$10:$S$609,$P$10:$P$609,"C09E11")=0,"",IF(SUMIFS($T$10:$T$609,$P$10:$P$609,"C09E11")=0,"0%",SUMIFS($T$10:$T$609,$P$10:$P$609,"C09E11")/SUMIFS($S$10:$S$609,$P$10:$P$609,"C09E11")))</f>
        <v>0%</v>
      </c>
      <c r="N128" s="32"/>
      <c r="O128" s="32">
        <v>6</v>
      </c>
      <c r="P128" s="32" t="s">
        <v>552</v>
      </c>
      <c r="Q128" s="32" t="s">
        <v>556</v>
      </c>
      <c r="R128" s="32">
        <v>1</v>
      </c>
      <c r="S128" s="32">
        <f t="shared" si="1"/>
        <v>1</v>
      </c>
      <c r="T128" s="32">
        <f>--('Ch.6 - Rechercher une info'!I348="✓ Correct")</f>
        <v>0</v>
      </c>
      <c r="U128" s="32">
        <v>0</v>
      </c>
      <c r="V128" s="32">
        <v>0</v>
      </c>
      <c r="W128" s="32">
        <v>1</v>
      </c>
      <c r="X128" s="32">
        <v>0</v>
      </c>
      <c r="Y128" s="32">
        <v>0</v>
      </c>
      <c r="Z128" s="32"/>
      <c r="AA128" s="32"/>
    </row>
    <row r="129" spans="2:27" ht="33.950000000000003" customHeight="1">
      <c r="B129" s="232" t="s">
        <v>557</v>
      </c>
      <c r="C129" s="233" t="s">
        <v>558</v>
      </c>
      <c r="D129" s="234" t="str">
        <f>IF(COUNTIFS($P$10:$P$609,"C09E12",$R$10:$R$609,1,$U$10:$U$609,1)&gt;0,"●","")</f>
        <v>●</v>
      </c>
      <c r="E129" s="235" t="str">
        <f>IF(COUNTIFS($P$10:$P$609,"C09E12",$R$10:$R$609,1,$V$10:$V$609,1)&gt;0,"●","")</f>
        <v/>
      </c>
      <c r="F129" s="236" t="str">
        <f>IF(COUNTIFS($P$10:$P$609,"C09E12",$R$10:$R$609,1,$W$10:$W$609,1)&gt;0,"●","")</f>
        <v/>
      </c>
      <c r="G129" s="237" t="str">
        <f>IF(COUNTIFS($P$10:$P$609,"C09E12",$R$10:$R$609,1,$X$10:$X$609,1)&gt;0,"●","")</f>
        <v/>
      </c>
      <c r="H129" s="238" t="str">
        <f>IF(COUNTIFS($P$10:$P$609,"C09E12",$R$10:$R$609,1,$Y$10:$Y$609,1)&gt;0,"●","")</f>
        <v/>
      </c>
      <c r="I129" s="241" t="str">
        <f>IF(SUMIFS($S$10:$S$609,$P$10:$P$609,"C09E12")=0,"—",SUMIFS($T$10:$T$609,$P$10:$P$609,"C09E12")&amp;"/"&amp;SUMIFS($S$10:$S$609,$P$10:$P$609,"C09E12"))</f>
        <v>0/1</v>
      </c>
      <c r="J129" s="242" t="str">
        <f>IF(SUMIFS($S$10:$S$609,$P$10:$P$609,"C09E12")=0,"",IF(SUMIFS($T$10:$T$609,$P$10:$P$609,"C09E12")=0,"0%",SUMIFS($T$10:$T$609,$P$10:$P$609,"C09E12")/SUMIFS($S$10:$S$609,$P$10:$P$609,"C09E12")))</f>
        <v>0%</v>
      </c>
      <c r="N129" s="32"/>
      <c r="O129" s="32">
        <v>6</v>
      </c>
      <c r="P129" s="32" t="s">
        <v>552</v>
      </c>
      <c r="Q129" s="32" t="s">
        <v>559</v>
      </c>
      <c r="R129" s="32">
        <v>1</v>
      </c>
      <c r="S129" s="32">
        <f t="shared" si="1"/>
        <v>1</v>
      </c>
      <c r="T129" s="32">
        <f>--('Ch.6 - Rechercher une info'!I366="✓ Correct")</f>
        <v>0</v>
      </c>
      <c r="U129" s="32">
        <v>0</v>
      </c>
      <c r="V129" s="32">
        <v>0</v>
      </c>
      <c r="W129" s="32">
        <v>1</v>
      </c>
      <c r="X129" s="32">
        <v>0</v>
      </c>
      <c r="Y129" s="32">
        <v>0</v>
      </c>
      <c r="Z129" s="32"/>
      <c r="AA129" s="32"/>
    </row>
    <row r="130" spans="2:27" ht="33.950000000000003" customHeight="1">
      <c r="B130" s="232" t="s">
        <v>560</v>
      </c>
      <c r="C130" s="233" t="s">
        <v>561</v>
      </c>
      <c r="D130" s="234" t="str">
        <f>IF(COUNTIFS($P$10:$P$609,"C09E13",$R$10:$R$609,1,$U$10:$U$609,1)&gt;0,"●","")</f>
        <v>●</v>
      </c>
      <c r="E130" s="235" t="str">
        <f>IF(COUNTIFS($P$10:$P$609,"C09E13",$R$10:$R$609,1,$V$10:$V$609,1)&gt;0,"●","")</f>
        <v/>
      </c>
      <c r="F130" s="236" t="str">
        <f>IF(COUNTIFS($P$10:$P$609,"C09E13",$R$10:$R$609,1,$W$10:$W$609,1)&gt;0,"●","")</f>
        <v/>
      </c>
      <c r="G130" s="237" t="str">
        <f>IF(COUNTIFS($P$10:$P$609,"C09E13",$R$10:$R$609,1,$X$10:$X$609,1)&gt;0,"●","")</f>
        <v/>
      </c>
      <c r="H130" s="238" t="str">
        <f>IF(COUNTIFS($P$10:$P$609,"C09E13",$R$10:$R$609,1,$Y$10:$Y$609,1)&gt;0,"●","")</f>
        <v/>
      </c>
      <c r="I130" s="241" t="str">
        <f>IF(SUMIFS($S$10:$S$609,$P$10:$P$609,"C09E13")=0,"—",SUMIFS($T$10:$T$609,$P$10:$P$609,"C09E13")&amp;"/"&amp;SUMIFS($S$10:$S$609,$P$10:$P$609,"C09E13"))</f>
        <v>0/1</v>
      </c>
      <c r="J130" s="242" t="str">
        <f>IF(SUMIFS($S$10:$S$609,$P$10:$P$609,"C09E13")=0,"",IF(SUMIFS($T$10:$T$609,$P$10:$P$609,"C09E13")=0,"0%",SUMIFS($T$10:$T$609,$P$10:$P$609,"C09E13")/SUMIFS($S$10:$S$609,$P$10:$P$609,"C09E13")))</f>
        <v>0%</v>
      </c>
      <c r="N130" s="32"/>
      <c r="O130" s="32">
        <v>6</v>
      </c>
      <c r="P130" s="32" t="s">
        <v>552</v>
      </c>
      <c r="Q130" s="32" t="s">
        <v>562</v>
      </c>
      <c r="R130" s="32">
        <v>1</v>
      </c>
      <c r="S130" s="32">
        <f t="shared" si="1"/>
        <v>1</v>
      </c>
      <c r="T130" s="32">
        <f>--('Ch.6 - Rechercher une info'!I384="✓ Correct")</f>
        <v>0</v>
      </c>
      <c r="U130" s="32">
        <v>0</v>
      </c>
      <c r="V130" s="32">
        <v>0</v>
      </c>
      <c r="W130" s="32">
        <v>1</v>
      </c>
      <c r="X130" s="32">
        <v>0</v>
      </c>
      <c r="Y130" s="32">
        <v>0</v>
      </c>
      <c r="Z130" s="32"/>
      <c r="AA130" s="32"/>
    </row>
    <row r="131" spans="2:27" ht="33.950000000000003" customHeight="1">
      <c r="B131" s="232" t="s">
        <v>563</v>
      </c>
      <c r="C131" s="233" t="s">
        <v>564</v>
      </c>
      <c r="D131" s="234" t="str">
        <f>IF(COUNTIFS($P$10:$P$609,"C09E14",$R$10:$R$609,1,$U$10:$U$609,1)&gt;0,"●","")</f>
        <v>●</v>
      </c>
      <c r="E131" s="235" t="str">
        <f>IF(COUNTIFS($P$10:$P$609,"C09E14",$R$10:$R$609,1,$V$10:$V$609,1)&gt;0,"●","")</f>
        <v/>
      </c>
      <c r="F131" s="236" t="str">
        <f>IF(COUNTIFS($P$10:$P$609,"C09E14",$R$10:$R$609,1,$W$10:$W$609,1)&gt;0,"●","")</f>
        <v/>
      </c>
      <c r="G131" s="237" t="str">
        <f>IF(COUNTIFS($P$10:$P$609,"C09E14",$R$10:$R$609,1,$X$10:$X$609,1)&gt;0,"●","")</f>
        <v/>
      </c>
      <c r="H131" s="238" t="str">
        <f>IF(COUNTIFS($P$10:$P$609,"C09E14",$R$10:$R$609,1,$Y$10:$Y$609,1)&gt;0,"●","")</f>
        <v/>
      </c>
      <c r="I131" s="241" t="str">
        <f>IF(SUMIFS($S$10:$S$609,$P$10:$P$609,"C09E14")=0,"—",SUMIFS($T$10:$T$609,$P$10:$P$609,"C09E14")&amp;"/"&amp;SUMIFS($S$10:$S$609,$P$10:$P$609,"C09E14"))</f>
        <v>0/1</v>
      </c>
      <c r="J131" s="242" t="str">
        <f>IF(SUMIFS($S$10:$S$609,$P$10:$P$609,"C09E14")=0,"",IF(SUMIFS($T$10:$T$609,$P$10:$P$609,"C09E14")=0,"0%",SUMIFS($T$10:$T$609,$P$10:$P$609,"C09E14")/SUMIFS($S$10:$S$609,$P$10:$P$609,"C09E14")))</f>
        <v>0%</v>
      </c>
      <c r="N131" s="32"/>
      <c r="O131" s="32">
        <v>6</v>
      </c>
      <c r="P131" s="32" t="s">
        <v>552</v>
      </c>
      <c r="Q131" s="32" t="s">
        <v>565</v>
      </c>
      <c r="R131" s="32">
        <v>1</v>
      </c>
      <c r="S131" s="32">
        <f t="shared" si="1"/>
        <v>1</v>
      </c>
      <c r="T131" s="32">
        <f>--('Ch.6 - Rechercher une info'!I402="✓ Correct")</f>
        <v>0</v>
      </c>
      <c r="U131" s="32">
        <v>0</v>
      </c>
      <c r="V131" s="32">
        <v>0</v>
      </c>
      <c r="W131" s="32">
        <v>1</v>
      </c>
      <c r="X131" s="32">
        <v>0</v>
      </c>
      <c r="Y131" s="32">
        <v>0</v>
      </c>
      <c r="Z131" s="32"/>
      <c r="AA131" s="32"/>
    </row>
    <row r="132" spans="2:27" ht="33.950000000000003" customHeight="1">
      <c r="B132" s="232" t="s">
        <v>566</v>
      </c>
      <c r="C132" s="233" t="s">
        <v>567</v>
      </c>
      <c r="D132" s="234" t="str">
        <f>IF(COUNTIFS($P$10:$P$609,"C09E15",$R$10:$R$609,1,$U$10:$U$609,1)&gt;0,"●","")</f>
        <v>●</v>
      </c>
      <c r="E132" s="235" t="str">
        <f>IF(COUNTIFS($P$10:$P$609,"C09E15",$R$10:$R$609,1,$V$10:$V$609,1)&gt;0,"●","")</f>
        <v/>
      </c>
      <c r="F132" s="236" t="str">
        <f>IF(COUNTIFS($P$10:$P$609,"C09E15",$R$10:$R$609,1,$W$10:$W$609,1)&gt;0,"●","")</f>
        <v/>
      </c>
      <c r="G132" s="237" t="str">
        <f>IF(COUNTIFS($P$10:$P$609,"C09E15",$R$10:$R$609,1,$X$10:$X$609,1)&gt;0,"●","")</f>
        <v/>
      </c>
      <c r="H132" s="238" t="str">
        <f>IF(COUNTIFS($P$10:$P$609,"C09E15",$R$10:$R$609,1,$Y$10:$Y$609,1)&gt;0,"●","")</f>
        <v/>
      </c>
      <c r="I132" s="241" t="str">
        <f>IF(SUMIFS($S$10:$S$609,$P$10:$P$609,"C09E15")=0,"—",SUMIFS($T$10:$T$609,$P$10:$P$609,"C09E15")&amp;"/"&amp;SUMIFS($S$10:$S$609,$P$10:$P$609,"C09E15"))</f>
        <v>0/1</v>
      </c>
      <c r="J132" s="242" t="str">
        <f>IF(SUMIFS($S$10:$S$609,$P$10:$P$609,"C09E15")=0,"",IF(SUMIFS($T$10:$T$609,$P$10:$P$609,"C09E15")=0,"0%",SUMIFS($T$10:$T$609,$P$10:$P$609,"C09E15")/SUMIFS($S$10:$S$609,$P$10:$P$609,"C09E15")))</f>
        <v>0%</v>
      </c>
      <c r="N132" s="32"/>
      <c r="O132" s="32">
        <v>6</v>
      </c>
      <c r="P132" s="32" t="s">
        <v>552</v>
      </c>
      <c r="Q132" s="32" t="s">
        <v>568</v>
      </c>
      <c r="R132" s="32">
        <v>1</v>
      </c>
      <c r="S132" s="32">
        <f t="shared" si="1"/>
        <v>1</v>
      </c>
      <c r="T132" s="32">
        <f>--('Ch.6 - Rechercher une info'!I421="✓ Correct")</f>
        <v>0</v>
      </c>
      <c r="U132" s="32">
        <v>0</v>
      </c>
      <c r="V132" s="32">
        <v>0</v>
      </c>
      <c r="W132" s="32">
        <v>1</v>
      </c>
      <c r="X132" s="32">
        <v>0</v>
      </c>
      <c r="Y132" s="32">
        <v>0</v>
      </c>
      <c r="Z132" s="32"/>
      <c r="AA132" s="32"/>
    </row>
    <row r="133" spans="2:27" ht="33.950000000000003" customHeight="1">
      <c r="B133" s="232" t="s">
        <v>569</v>
      </c>
      <c r="C133" s="233" t="s">
        <v>570</v>
      </c>
      <c r="D133" s="234" t="str">
        <f>IF(COUNTIFS($P$10:$P$609,"C09E16",$R$10:$R$609,1,$U$10:$U$609,1)&gt;0,"●","")</f>
        <v>●</v>
      </c>
      <c r="E133" s="235" t="str">
        <f>IF(COUNTIFS($P$10:$P$609,"C09E16",$R$10:$R$609,1,$V$10:$V$609,1)&gt;0,"●","")</f>
        <v/>
      </c>
      <c r="F133" s="236" t="str">
        <f>IF(COUNTIFS($P$10:$P$609,"C09E16",$R$10:$R$609,1,$W$10:$W$609,1)&gt;0,"●","")</f>
        <v/>
      </c>
      <c r="G133" s="237" t="str">
        <f>IF(COUNTIFS($P$10:$P$609,"C09E16",$R$10:$R$609,1,$X$10:$X$609,1)&gt;0,"●","")</f>
        <v/>
      </c>
      <c r="H133" s="238" t="str">
        <f>IF(COUNTIFS($P$10:$P$609,"C09E16",$R$10:$R$609,1,$Y$10:$Y$609,1)&gt;0,"●","")</f>
        <v/>
      </c>
      <c r="I133" s="241" t="str">
        <f>IF(SUMIFS($S$10:$S$609,$P$10:$P$609,"C09E16")=0,"—",SUMIFS($T$10:$T$609,$P$10:$P$609,"C09E16")&amp;"/"&amp;SUMIFS($S$10:$S$609,$P$10:$P$609,"C09E16"))</f>
        <v>0/1</v>
      </c>
      <c r="J133" s="242" t="str">
        <f>IF(SUMIFS($S$10:$S$609,$P$10:$P$609,"C09E16")=0,"",IF(SUMIFS($T$10:$T$609,$P$10:$P$609,"C09E16")=0,"0%",SUMIFS($T$10:$T$609,$P$10:$P$609,"C09E16")/SUMIFS($S$10:$S$609,$P$10:$P$609,"C09E16")))</f>
        <v>0%</v>
      </c>
      <c r="N133" s="32"/>
      <c r="O133" s="32">
        <v>6</v>
      </c>
      <c r="P133" s="32" t="s">
        <v>552</v>
      </c>
      <c r="Q133" s="32" t="s">
        <v>571</v>
      </c>
      <c r="R133" s="32">
        <v>1</v>
      </c>
      <c r="S133" s="32">
        <f t="shared" si="1"/>
        <v>1</v>
      </c>
      <c r="T133" s="32">
        <f>--('Ch.6 - Rechercher une info'!I440="✓ Correct")</f>
        <v>0</v>
      </c>
      <c r="U133" s="32">
        <v>0</v>
      </c>
      <c r="V133" s="32">
        <v>0</v>
      </c>
      <c r="W133" s="32">
        <v>1</v>
      </c>
      <c r="X133" s="32">
        <v>0</v>
      </c>
      <c r="Y133" s="32">
        <v>0</v>
      </c>
      <c r="Z133" s="32"/>
      <c r="AA133" s="32"/>
    </row>
    <row r="134" spans="2:27" ht="33.950000000000003" customHeight="1">
      <c r="B134" s="232" t="s">
        <v>572</v>
      </c>
      <c r="C134" s="233" t="s">
        <v>573</v>
      </c>
      <c r="D134" s="234" t="str">
        <f>IF(COUNTIFS($P$10:$P$609,"C09E17",$R$10:$R$609,1,$U$10:$U$609,1)&gt;0,"●","")</f>
        <v>●</v>
      </c>
      <c r="E134" s="235" t="str">
        <f>IF(COUNTIFS($P$10:$P$609,"C09E17",$R$10:$R$609,1,$V$10:$V$609,1)&gt;0,"●","")</f>
        <v/>
      </c>
      <c r="F134" s="236" t="str">
        <f>IF(COUNTIFS($P$10:$P$609,"C09E17",$R$10:$R$609,1,$W$10:$W$609,1)&gt;0,"●","")</f>
        <v/>
      </c>
      <c r="G134" s="237" t="str">
        <f>IF(COUNTIFS($P$10:$P$609,"C09E17",$R$10:$R$609,1,$X$10:$X$609,1)&gt;0,"●","")</f>
        <v/>
      </c>
      <c r="H134" s="238" t="str">
        <f>IF(COUNTIFS($P$10:$P$609,"C09E17",$R$10:$R$609,1,$Y$10:$Y$609,1)&gt;0,"●","")</f>
        <v/>
      </c>
      <c r="I134" s="241" t="str">
        <f>IF(SUMIFS($S$10:$S$609,$P$10:$P$609,"C09E17")=0,"—",SUMIFS($T$10:$T$609,$P$10:$P$609,"C09E17")&amp;"/"&amp;SUMIFS($S$10:$S$609,$P$10:$P$609,"C09E17"))</f>
        <v>0/3</v>
      </c>
      <c r="J134" s="242" t="str">
        <f>IF(SUMIFS($S$10:$S$609,$P$10:$P$609,"C09E17")=0,"",IF(SUMIFS($T$10:$T$609,$P$10:$P$609,"C09E17")=0,"0%",SUMIFS($T$10:$T$609,$P$10:$P$609,"C09E17")/SUMIFS($S$10:$S$609,$P$10:$P$609,"C09E17")))</f>
        <v>0%</v>
      </c>
      <c r="N134" s="32"/>
      <c r="O134" s="32">
        <v>6</v>
      </c>
      <c r="P134" s="32" t="s">
        <v>552</v>
      </c>
      <c r="Q134" s="32" t="s">
        <v>574</v>
      </c>
      <c r="R134" s="32">
        <v>1</v>
      </c>
      <c r="S134" s="32">
        <f t="shared" si="1"/>
        <v>1</v>
      </c>
      <c r="T134" s="32">
        <f>--('Ch.6 - Rechercher une info'!I460="✓ Correct")</f>
        <v>0</v>
      </c>
      <c r="U134" s="32">
        <v>0</v>
      </c>
      <c r="V134" s="32">
        <v>0</v>
      </c>
      <c r="W134" s="32">
        <v>1</v>
      </c>
      <c r="X134" s="32">
        <v>0</v>
      </c>
      <c r="Y134" s="32">
        <v>0</v>
      </c>
      <c r="Z134" s="32"/>
      <c r="AA134" s="32"/>
    </row>
    <row r="135" spans="2:27" ht="33.950000000000003" customHeight="1">
      <c r="B135" s="232" t="s">
        <v>575</v>
      </c>
      <c r="C135" s="233" t="s">
        <v>576</v>
      </c>
      <c r="D135" s="234" t="str">
        <f>IF(COUNTIFS($P$10:$P$609,"C09E18",$R$10:$R$609,1,$U$10:$U$609,1)&gt;0,"●","")</f>
        <v>●</v>
      </c>
      <c r="E135" s="235" t="str">
        <f>IF(COUNTIFS($P$10:$P$609,"C09E18",$R$10:$R$609,1,$V$10:$V$609,1)&gt;0,"●","")</f>
        <v/>
      </c>
      <c r="F135" s="236" t="str">
        <f>IF(COUNTIFS($P$10:$P$609,"C09E18",$R$10:$R$609,1,$W$10:$W$609,1)&gt;0,"●","")</f>
        <v/>
      </c>
      <c r="G135" s="237" t="str">
        <f>IF(COUNTIFS($P$10:$P$609,"C09E18",$R$10:$R$609,1,$X$10:$X$609,1)&gt;0,"●","")</f>
        <v/>
      </c>
      <c r="H135" s="238" t="str">
        <f>IF(COUNTIFS($P$10:$P$609,"C09E18",$R$10:$R$609,1,$Y$10:$Y$609,1)&gt;0,"●","")</f>
        <v/>
      </c>
      <c r="I135" s="241" t="str">
        <f>IF(SUMIFS($S$10:$S$609,$P$10:$P$609,"C09E18")=0,"—",SUMIFS($T$10:$T$609,$P$10:$P$609,"C09E18")&amp;"/"&amp;SUMIFS($S$10:$S$609,$P$10:$P$609,"C09E18"))</f>
        <v>0/3</v>
      </c>
      <c r="J135" s="242" t="str">
        <f>IF(SUMIFS($S$10:$S$609,$P$10:$P$609,"C09E18")=0,"",IF(SUMIFS($T$10:$T$609,$P$10:$P$609,"C09E18")=0,"0%",SUMIFS($T$10:$T$609,$P$10:$P$609,"C09E18")/SUMIFS($S$10:$S$609,$P$10:$P$609,"C09E18")))</f>
        <v>0%</v>
      </c>
      <c r="N135" s="32"/>
      <c r="O135" s="32">
        <v>6</v>
      </c>
      <c r="P135" s="32" t="s">
        <v>577</v>
      </c>
      <c r="Q135" s="32" t="s">
        <v>578</v>
      </c>
      <c r="R135" s="32">
        <v>1</v>
      </c>
      <c r="S135" s="32">
        <f t="shared" si="1"/>
        <v>1</v>
      </c>
      <c r="T135" s="32">
        <f>--('Ch.6 - Rechercher une info'!I480="✓ Correct")</f>
        <v>0</v>
      </c>
      <c r="U135" s="32">
        <v>1</v>
      </c>
      <c r="V135" s="32">
        <v>0</v>
      </c>
      <c r="W135" s="32">
        <v>0</v>
      </c>
      <c r="X135" s="32">
        <v>0</v>
      </c>
      <c r="Y135" s="32">
        <v>0</v>
      </c>
      <c r="Z135" s="32"/>
      <c r="AA135" s="32"/>
    </row>
    <row r="136" spans="2:27" ht="33.950000000000003" customHeight="1">
      <c r="N136" s="32"/>
      <c r="O136" s="32">
        <v>6</v>
      </c>
      <c r="P136" s="32" t="s">
        <v>577</v>
      </c>
      <c r="Q136" s="32" t="s">
        <v>579</v>
      </c>
      <c r="R136" s="32">
        <v>1</v>
      </c>
      <c r="S136" s="32">
        <f t="shared" si="1"/>
        <v>1</v>
      </c>
      <c r="T136" s="32">
        <f>--('Ch.6 - Rechercher une info'!I498="✓ Correct")</f>
        <v>0</v>
      </c>
      <c r="U136" s="32">
        <v>1</v>
      </c>
      <c r="V136" s="32">
        <v>0</v>
      </c>
      <c r="W136" s="32">
        <v>0</v>
      </c>
      <c r="X136" s="32">
        <v>0</v>
      </c>
      <c r="Y136" s="32">
        <v>0</v>
      </c>
      <c r="Z136" s="32"/>
      <c r="AA136" s="32"/>
    </row>
    <row r="137" spans="2:27" ht="21.95" customHeight="1">
      <c r="B137" s="33" t="s">
        <v>580</v>
      </c>
      <c r="C137" s="33"/>
      <c r="D137" s="33"/>
      <c r="E137" s="33"/>
      <c r="F137" s="33"/>
      <c r="G137" s="33"/>
      <c r="H137" s="33"/>
      <c r="I137" s="230" t="str">
        <f>IF(SUMIFS($S$10:$S$609,$O$10:$O$609,10)=0,"—",SUMIFS($T$10:$T$609,$O$10:$O$609,10)&amp;"/"&amp;SUMIFS($S$10:$S$609,$O$10:$O$609,10))</f>
        <v>0/10</v>
      </c>
      <c r="J137" s="231" t="str">
        <f>IF(SUMIFS($S$10:$S$609,$O$10:$O$609,10)=0,"",IF(SUMIFS($T$10:$T$609,$O$10:$O$609,10)=0,"0%",SUMIFS($T$10:$T$609,$O$10:$O$609,10)/SUMIFS($S$10:$S$609,$O$10:$O$609,10)))</f>
        <v>0%</v>
      </c>
      <c r="N137" s="32"/>
      <c r="O137" s="32">
        <v>6</v>
      </c>
      <c r="P137" s="32" t="s">
        <v>577</v>
      </c>
      <c r="Q137" s="32" t="s">
        <v>581</v>
      </c>
      <c r="R137" s="32">
        <v>1</v>
      </c>
      <c r="S137" s="32">
        <f t="shared" si="1"/>
        <v>1</v>
      </c>
      <c r="T137" s="32">
        <f>--('Ch.6 - Rechercher une info'!I515="✓ Correct")</f>
        <v>0</v>
      </c>
      <c r="U137" s="32">
        <v>0</v>
      </c>
      <c r="V137" s="32">
        <v>0</v>
      </c>
      <c r="W137" s="32">
        <v>1</v>
      </c>
      <c r="X137" s="32">
        <v>0</v>
      </c>
      <c r="Y137" s="32">
        <v>0</v>
      </c>
      <c r="Z137" s="32"/>
      <c r="AA137" s="32"/>
    </row>
    <row r="138" spans="2:27" ht="24" customHeight="1">
      <c r="B138" s="232" t="s">
        <v>1906</v>
      </c>
      <c r="C138" s="233" t="s">
        <v>1907</v>
      </c>
      <c r="D138" s="234" t="str">
        <f>IF(COUNTIFS($P$10:$P$609,"C10E01",$R$10:$R$609,1,$U$10:$U$609,1)&gt;0,"●","")</f>
        <v>●</v>
      </c>
      <c r="E138" s="235" t="str">
        <f>IF(COUNTIFS($P$10:$P$609,"C10E01",$R$10:$R$609,1,$V$10:$V$609,1)&gt;0,"●","")</f>
        <v/>
      </c>
      <c r="F138" s="236" t="str">
        <f>IF(COUNTIFS($P$10:$P$609,"C10E01",$R$10:$R$609,1,$W$10:$W$609,1)&gt;0,"●","")</f>
        <v/>
      </c>
      <c r="G138" s="237" t="str">
        <f>IF(COUNTIFS($P$10:$P$609,"C10E01",$R$10:$R$609,1,$X$10:$X$609,1)&gt;0,"●","")</f>
        <v/>
      </c>
      <c r="H138" s="238" t="str">
        <f>IF(COUNTIFS($P$10:$P$609,"C10E01",$R$10:$R$609,1,$Y$10:$Y$609,1)&gt;0,"●","")</f>
        <v/>
      </c>
      <c r="I138" s="239" t="str">
        <f>IF(SUMIFS($S$10:$S$609,$P$10:$P$609,"C10E01")=0,"—",SUMIFS($T$10:$T$609,$P$10:$P$609,"C10E01")&amp;"/"&amp;SUMIFS($S$10:$S$609,$P$10:$P$609,"C10E01"))</f>
        <v>0/2</v>
      </c>
      <c r="J138" s="240" t="str">
        <f>IF(SUMIFS($S$10:$S$609,$P$10:$P$609,"C10E01")=0,"",IF(SUMIFS($T$10:$T$609,$P$10:$P$609,"C10E01")=0,"0%",SUMIFS($T$10:$T$609,$P$10:$P$609,"C10E01")/SUMIFS($S$10:$S$609,$P$10:$P$609,"C10E01")))</f>
        <v>0%</v>
      </c>
      <c r="N138" s="32"/>
      <c r="O138" s="32">
        <v>6</v>
      </c>
      <c r="P138" s="32" t="s">
        <v>582</v>
      </c>
      <c r="Q138" s="32" t="s">
        <v>583</v>
      </c>
      <c r="R138" s="32">
        <v>1</v>
      </c>
      <c r="S138" s="32">
        <f t="shared" ref="S138:S201" si="2">IF(R138&lt;&gt;1,0,--OR(U138=1,AND($O$2&gt;=2,V138=1),AND($O$2&gt;=3,W138=1),AND($O$2&gt;=4,X138=1),AND($O$2&gt;=5,Y138=1)))</f>
        <v>1</v>
      </c>
      <c r="T138" s="32">
        <f>--('Ch.6 - Rechercher une info'!I537="✓ Correct")</f>
        <v>0</v>
      </c>
      <c r="U138" s="32">
        <v>0</v>
      </c>
      <c r="V138" s="32">
        <v>0</v>
      </c>
      <c r="W138" s="32">
        <v>1</v>
      </c>
      <c r="X138" s="32">
        <v>0</v>
      </c>
      <c r="Y138" s="32">
        <v>0</v>
      </c>
      <c r="Z138" s="32"/>
      <c r="AA138" s="32"/>
    </row>
    <row r="139" spans="2:27" ht="33.950000000000003" customHeight="1">
      <c r="B139" s="232" t="s">
        <v>1908</v>
      </c>
      <c r="C139" s="233" t="s">
        <v>1909</v>
      </c>
      <c r="D139" s="234" t="str">
        <f>IF(COUNTIFS($P$10:$P$609,"C10E02",$R$10:$R$609,1,$U$10:$U$609,1)&gt;0,"●","")</f>
        <v>●</v>
      </c>
      <c r="E139" s="235" t="str">
        <f>IF(COUNTIFS($P$10:$P$609,"C10E02",$R$10:$R$609,1,$V$10:$V$609,1)&gt;0,"●","")</f>
        <v/>
      </c>
      <c r="F139" s="236" t="str">
        <f>IF(COUNTIFS($P$10:$P$609,"C10E02",$R$10:$R$609,1,$W$10:$W$609,1)&gt;0,"●","")</f>
        <v/>
      </c>
      <c r="G139" s="237" t="str">
        <f>IF(COUNTIFS($P$10:$P$609,"C10E02",$R$10:$R$609,1,$X$10:$X$609,1)&gt;0,"●","")</f>
        <v/>
      </c>
      <c r="H139" s="238" t="str">
        <f>IF(COUNTIFS($P$10:$P$609,"C10E02",$R$10:$R$609,1,$Y$10:$Y$609,1)&gt;0,"●","")</f>
        <v/>
      </c>
      <c r="I139" s="241" t="str">
        <f>IF(SUMIFS($S$10:$S$609,$P$10:$P$609,"C10E02")=0,"—",SUMIFS($T$10:$T$609,$P$10:$P$609,"C10E02")&amp;"/"&amp;SUMIFS($S$10:$S$609,$P$10:$P$609,"C10E02"))</f>
        <v>0/2</v>
      </c>
      <c r="J139" s="242" t="str">
        <f>IF(SUMIFS($S$10:$S$609,$P$10:$P$609,"C10E02")=0,"",IF(SUMIFS($T$10:$T$609,$P$10:$P$609,"C10E02")=0,"0%",SUMIFS($T$10:$T$609,$P$10:$P$609,"C10E02")/SUMIFS($S$10:$S$609,$P$10:$P$609,"C10E02")))</f>
        <v>0%</v>
      </c>
      <c r="N139" s="32"/>
      <c r="O139" s="32">
        <v>6</v>
      </c>
      <c r="P139" s="32" t="s">
        <v>582</v>
      </c>
      <c r="Q139" s="32" t="s">
        <v>584</v>
      </c>
      <c r="R139" s="32">
        <v>1</v>
      </c>
      <c r="S139" s="32">
        <f t="shared" si="2"/>
        <v>1</v>
      </c>
      <c r="T139" s="32">
        <f>--('Ch.6 - Rechercher une info'!I557="✓ Correct")</f>
        <v>0</v>
      </c>
      <c r="U139" s="32">
        <v>0</v>
      </c>
      <c r="V139" s="32">
        <v>0</v>
      </c>
      <c r="W139" s="32">
        <v>1</v>
      </c>
      <c r="X139" s="32">
        <v>0</v>
      </c>
      <c r="Y139" s="32">
        <v>0</v>
      </c>
      <c r="Z139" s="32"/>
      <c r="AA139" s="32"/>
    </row>
    <row r="140" spans="2:27" ht="24" customHeight="1">
      <c r="B140" s="232" t="s">
        <v>1910</v>
      </c>
      <c r="C140" s="233" t="s">
        <v>1911</v>
      </c>
      <c r="D140" s="234" t="str">
        <f>IF(COUNTIFS($P$10:$P$609,"C10E03",$R$10:$R$609,1,$U$10:$U$609,1)&gt;0,"●","")</f>
        <v>●</v>
      </c>
      <c r="E140" s="235" t="str">
        <f>IF(COUNTIFS($P$10:$P$609,"C10E03",$R$10:$R$609,1,$V$10:$V$609,1)&gt;0,"●","")</f>
        <v/>
      </c>
      <c r="F140" s="236" t="str">
        <f>IF(COUNTIFS($P$10:$P$609,"C10E03",$R$10:$R$609,1,$W$10:$W$609,1)&gt;0,"●","")</f>
        <v/>
      </c>
      <c r="G140" s="237" t="str">
        <f>IF(COUNTIFS($P$10:$P$609,"C10E03",$R$10:$R$609,1,$X$10:$X$609,1)&gt;0,"●","")</f>
        <v/>
      </c>
      <c r="H140" s="238" t="str">
        <f>IF(COUNTIFS($P$10:$P$609,"C10E03",$R$10:$R$609,1,$Y$10:$Y$609,1)&gt;0,"●","")</f>
        <v/>
      </c>
      <c r="I140" s="241" t="str">
        <f>IF(SUMIFS($S$10:$S$609,$P$10:$P$609,"C10E03")=0,"—",SUMIFS($T$10:$T$609,$P$10:$P$609,"C10E03")&amp;"/"&amp;SUMIFS($S$10:$S$609,$P$10:$P$609,"C10E03"))</f>
        <v>0/1</v>
      </c>
      <c r="J140" s="242" t="str">
        <f>IF(SUMIFS($S$10:$S$609,$P$10:$P$609,"C10E03")=0,"",IF(SUMIFS($T$10:$T$609,$P$10:$P$609,"C10E03")=0,"0%",SUMIFS($T$10:$T$609,$P$10:$P$609,"C10E03")/SUMIFS($S$10:$S$609,$P$10:$P$609,"C10E03")))</f>
        <v>0%</v>
      </c>
      <c r="N140" s="32"/>
      <c r="O140" s="32">
        <v>6</v>
      </c>
      <c r="P140" s="32" t="s">
        <v>585</v>
      </c>
      <c r="Q140" s="32" t="s">
        <v>586</v>
      </c>
      <c r="R140" s="32">
        <v>1</v>
      </c>
      <c r="S140" s="32">
        <f t="shared" si="2"/>
        <v>1</v>
      </c>
      <c r="T140" s="32">
        <f>--('Ch.6 - Rechercher une info'!I581="✓ Correct")</f>
        <v>0</v>
      </c>
      <c r="U140" s="32">
        <v>0</v>
      </c>
      <c r="V140" s="32">
        <v>0</v>
      </c>
      <c r="W140" s="32">
        <v>1</v>
      </c>
      <c r="X140" s="32">
        <v>0</v>
      </c>
      <c r="Y140" s="32">
        <v>0</v>
      </c>
      <c r="Z140" s="32"/>
      <c r="AA140" s="32"/>
    </row>
    <row r="141" spans="2:27" ht="33.950000000000003" customHeight="1">
      <c r="B141" s="232" t="s">
        <v>1912</v>
      </c>
      <c r="C141" s="233" t="s">
        <v>1913</v>
      </c>
      <c r="D141" s="234" t="str">
        <f>IF(COUNTIFS($P$10:$P$609,"C10E04",$R$10:$R$609,1,$U$10:$U$609,1)&gt;0,"●","")</f>
        <v>●</v>
      </c>
      <c r="E141" s="235" t="str">
        <f>IF(COUNTIFS($P$10:$P$609,"C10E04",$R$10:$R$609,1,$V$10:$V$609,1)&gt;0,"●","")</f>
        <v/>
      </c>
      <c r="F141" s="236" t="str">
        <f>IF(COUNTIFS($P$10:$P$609,"C10E04",$R$10:$R$609,1,$W$10:$W$609,1)&gt;0,"●","")</f>
        <v/>
      </c>
      <c r="G141" s="237" t="str">
        <f>IF(COUNTIFS($P$10:$P$609,"C10E04",$R$10:$R$609,1,$X$10:$X$609,1)&gt;0,"●","")</f>
        <v/>
      </c>
      <c r="H141" s="238" t="str">
        <f>IF(COUNTIFS($P$10:$P$609,"C10E04",$R$10:$R$609,1,$Y$10:$Y$609,1)&gt;0,"●","")</f>
        <v/>
      </c>
      <c r="I141" s="241" t="str">
        <f>IF(SUMIFS($S$10:$S$609,$P$10:$P$609,"C10E04")=0,"—",SUMIFS($T$10:$T$609,$P$10:$P$609,"C10E04")&amp;"/"&amp;SUMIFS($S$10:$S$609,$P$10:$P$609,"C10E04"))</f>
        <v>0/1</v>
      </c>
      <c r="J141" s="242" t="str">
        <f>IF(SUMIFS($S$10:$S$609,$P$10:$P$609,"C10E04")=0,"",IF(SUMIFS($T$10:$T$609,$P$10:$P$609,"C10E04")=0,"0%",SUMIFS($T$10:$T$609,$P$10:$P$609,"C10E04")/SUMIFS($S$10:$S$609,$P$10:$P$609,"C10E04")))</f>
        <v>0%</v>
      </c>
      <c r="N141" s="32"/>
      <c r="O141" s="32">
        <v>6</v>
      </c>
      <c r="P141" s="32" t="s">
        <v>587</v>
      </c>
      <c r="Q141" s="32" t="s">
        <v>588</v>
      </c>
      <c r="R141" s="32">
        <v>1</v>
      </c>
      <c r="S141" s="32">
        <f t="shared" si="2"/>
        <v>1</v>
      </c>
      <c r="T141" s="32">
        <f>--('Ch.6 - Rechercher une info'!I613="✓ Correct")</f>
        <v>0</v>
      </c>
      <c r="U141" s="32">
        <v>1</v>
      </c>
      <c r="V141" s="32">
        <v>0</v>
      </c>
      <c r="W141" s="32">
        <v>0</v>
      </c>
      <c r="X141" s="32">
        <v>0</v>
      </c>
      <c r="Y141" s="32">
        <v>0</v>
      </c>
      <c r="Z141" s="32"/>
      <c r="AA141" s="32"/>
    </row>
    <row r="142" spans="2:27" ht="33.950000000000003" customHeight="1">
      <c r="B142" s="232" t="s">
        <v>1914</v>
      </c>
      <c r="C142" s="233" t="s">
        <v>1915</v>
      </c>
      <c r="D142" s="234" t="str">
        <f>IF(COUNTIFS($P$10:$P$609,"C10E05",$R$10:$R$609,1,$U$10:$U$609,1)&gt;0,"●","")</f>
        <v>●</v>
      </c>
      <c r="E142" s="235" t="str">
        <f>IF(COUNTIFS($P$10:$P$609,"C10E05",$R$10:$R$609,1,$V$10:$V$609,1)&gt;0,"●","")</f>
        <v/>
      </c>
      <c r="F142" s="236" t="str">
        <f>IF(COUNTIFS($P$10:$P$609,"C10E05",$R$10:$R$609,1,$W$10:$W$609,1)&gt;0,"●","")</f>
        <v/>
      </c>
      <c r="G142" s="237" t="str">
        <f>IF(COUNTIFS($P$10:$P$609,"C10E05",$R$10:$R$609,1,$X$10:$X$609,1)&gt;0,"●","")</f>
        <v/>
      </c>
      <c r="H142" s="238" t="str">
        <f>IF(COUNTIFS($P$10:$P$609,"C10E05",$R$10:$R$609,1,$Y$10:$Y$609,1)&gt;0,"●","")</f>
        <v/>
      </c>
      <c r="I142" s="241" t="str">
        <f>IF(SUMIFS($S$10:$S$609,$P$10:$P$609,"C10E05")=0,"—",SUMIFS($T$10:$T$609,$P$10:$P$609,"C10E05")&amp;"/"&amp;SUMIFS($S$10:$S$609,$P$10:$P$609,"C10E05"))</f>
        <v>0/1</v>
      </c>
      <c r="J142" s="242" t="str">
        <f>IF(SUMIFS($S$10:$S$609,$P$10:$P$609,"C10E05")=0,"",IF(SUMIFS($T$10:$T$609,$P$10:$P$609,"C10E05")=0,"0%",SUMIFS($T$10:$T$609,$P$10:$P$609,"C10E05")/SUMIFS($S$10:$S$609,$P$10:$P$609,"C10E05")))</f>
        <v>0%</v>
      </c>
      <c r="N142" s="32" t="s">
        <v>589</v>
      </c>
      <c r="O142" s="32">
        <v>7</v>
      </c>
      <c r="P142" s="32" t="s">
        <v>590</v>
      </c>
      <c r="Q142" s="32" t="s">
        <v>591</v>
      </c>
      <c r="R142" s="32">
        <v>1</v>
      </c>
      <c r="S142" s="32">
        <f t="shared" si="2"/>
        <v>1</v>
      </c>
      <c r="T142" s="32">
        <f>--('Ch.7 - Résultats dynamiques'!I32="✓ Correct")</f>
        <v>0</v>
      </c>
      <c r="U142" s="32">
        <v>0</v>
      </c>
      <c r="V142" s="32">
        <v>0</v>
      </c>
      <c r="W142" s="32">
        <v>1</v>
      </c>
      <c r="X142" s="32">
        <v>0</v>
      </c>
      <c r="Y142" s="32">
        <v>0</v>
      </c>
      <c r="Z142" s="32" t="s">
        <v>592</v>
      </c>
      <c r="AA142" s="32" t="s">
        <v>593</v>
      </c>
    </row>
    <row r="143" spans="2:27" ht="33.950000000000003" customHeight="1">
      <c r="B143" s="232" t="s">
        <v>1916</v>
      </c>
      <c r="C143" s="233" t="s">
        <v>1917</v>
      </c>
      <c r="D143" s="234" t="str">
        <f>IF(COUNTIFS($P$10:$P$609,"C10E06",$R$10:$R$609,1,$U$10:$U$609,1)&gt;0,"●","")</f>
        <v/>
      </c>
      <c r="E143" s="235" t="str">
        <f>IF(COUNTIFS($P$10:$P$609,"C10E06",$R$10:$R$609,1,$V$10:$V$609,1)&gt;0,"●","")</f>
        <v/>
      </c>
      <c r="F143" s="236" t="str">
        <f>IF(COUNTIFS($P$10:$P$609,"C10E06",$R$10:$R$609,1,$W$10:$W$609,1)&gt;0,"●","")</f>
        <v>●</v>
      </c>
      <c r="G143" s="237" t="str">
        <f>IF(COUNTIFS($P$10:$P$609,"C10E06",$R$10:$R$609,1,$X$10:$X$609,1)&gt;0,"●","")</f>
        <v/>
      </c>
      <c r="H143" s="238" t="str">
        <f>IF(COUNTIFS($P$10:$P$609,"C10E06",$R$10:$R$609,1,$Y$10:$Y$609,1)&gt;0,"●","")</f>
        <v/>
      </c>
      <c r="I143" s="241" t="str">
        <f>IF(SUMIFS($S$10:$S$609,$P$10:$P$609,"C10E06")=0,"—",SUMIFS($T$10:$T$609,$P$10:$P$609,"C10E06")&amp;"/"&amp;SUMIFS($S$10:$S$609,$P$10:$P$609,"C10E06"))</f>
        <v>0/1</v>
      </c>
      <c r="J143" s="242" t="str">
        <f>IF(SUMIFS($S$10:$S$609,$P$10:$P$609,"C10E06")=0,"",IF(SUMIFS($T$10:$T$609,$P$10:$P$609,"C10E06")=0,"0%",SUMIFS($T$10:$T$609,$P$10:$P$609,"C10E06")/SUMIFS($S$10:$S$609,$P$10:$P$609,"C10E06")))</f>
        <v>0%</v>
      </c>
      <c r="N143" s="32" t="s">
        <v>594</v>
      </c>
      <c r="O143" s="32">
        <v>7</v>
      </c>
      <c r="P143" s="32" t="s">
        <v>590</v>
      </c>
      <c r="Q143" s="32" t="s">
        <v>595</v>
      </c>
      <c r="R143" s="32">
        <v>1</v>
      </c>
      <c r="S143" s="32">
        <f t="shared" si="2"/>
        <v>1</v>
      </c>
      <c r="T143" s="32">
        <f>--('Ch.7 - Résultats dynamiques'!I44="✓ Correct")</f>
        <v>0</v>
      </c>
      <c r="U143" s="32">
        <v>0</v>
      </c>
      <c r="V143" s="32">
        <v>0</v>
      </c>
      <c r="W143" s="32">
        <v>1</v>
      </c>
      <c r="X143" s="32">
        <v>0</v>
      </c>
      <c r="Y143" s="32">
        <v>0</v>
      </c>
      <c r="Z143" s="32" t="s">
        <v>596</v>
      </c>
      <c r="AA143" s="32" t="s">
        <v>593</v>
      </c>
    </row>
    <row r="144" spans="2:27" ht="33.950000000000003" customHeight="1">
      <c r="B144" s="232" t="s">
        <v>1918</v>
      </c>
      <c r="C144" s="233" t="s">
        <v>1919</v>
      </c>
      <c r="D144" s="234" t="str">
        <f>IF(COUNTIFS($P$10:$P$609,"C10E07",$R$10:$R$609,1,$U$10:$U$609,1)&gt;0,"●","")</f>
        <v>●</v>
      </c>
      <c r="E144" s="235" t="str">
        <f>IF(COUNTIFS($P$10:$P$609,"C10E07",$R$10:$R$609,1,$V$10:$V$609,1)&gt;0,"●","")</f>
        <v/>
      </c>
      <c r="F144" s="236" t="str">
        <f>IF(COUNTIFS($P$10:$P$609,"C10E07",$R$10:$R$609,1,$W$10:$W$609,1)&gt;0,"●","")</f>
        <v/>
      </c>
      <c r="G144" s="237" t="str">
        <f>IF(COUNTIFS($P$10:$P$609,"C10E07",$R$10:$R$609,1,$X$10:$X$609,1)&gt;0,"●","")</f>
        <v/>
      </c>
      <c r="H144" s="238" t="str">
        <f>IF(COUNTIFS($P$10:$P$609,"C10E07",$R$10:$R$609,1,$Y$10:$Y$609,1)&gt;0,"●","")</f>
        <v/>
      </c>
      <c r="I144" s="241" t="str">
        <f>IF(SUMIFS($S$10:$S$609,$P$10:$P$609,"C10E07")=0,"—",SUMIFS($T$10:$T$609,$P$10:$P$609,"C10E07")&amp;"/"&amp;SUMIFS($S$10:$S$609,$P$10:$P$609,"C10E07"))</f>
        <v>0/1</v>
      </c>
      <c r="J144" s="242" t="str">
        <f>IF(SUMIFS($S$10:$S$609,$P$10:$P$609,"C10E07")=0,"",IF(SUMIFS($T$10:$T$609,$P$10:$P$609,"C10E07")=0,"0%",SUMIFS($T$10:$T$609,$P$10:$P$609,"C10E07")/SUMIFS($S$10:$S$609,$P$10:$P$609,"C10E07")))</f>
        <v>0%</v>
      </c>
      <c r="N144" s="32" t="s">
        <v>597</v>
      </c>
      <c r="O144" s="32">
        <v>7</v>
      </c>
      <c r="P144" s="32" t="s">
        <v>590</v>
      </c>
      <c r="Q144" s="32" t="s">
        <v>598</v>
      </c>
      <c r="R144" s="32">
        <v>1</v>
      </c>
      <c r="S144" s="32">
        <f t="shared" si="2"/>
        <v>1</v>
      </c>
      <c r="T144" s="32">
        <f>--('Ch.7 - Résultats dynamiques'!I54="✓ Correct")</f>
        <v>0</v>
      </c>
      <c r="U144" s="32">
        <v>0</v>
      </c>
      <c r="V144" s="32">
        <v>0</v>
      </c>
      <c r="W144" s="32">
        <v>1</v>
      </c>
      <c r="X144" s="32">
        <v>0</v>
      </c>
      <c r="Y144" s="32">
        <v>0</v>
      </c>
      <c r="Z144" s="32" t="s">
        <v>599</v>
      </c>
      <c r="AA144" s="32" t="s">
        <v>593</v>
      </c>
    </row>
    <row r="145" spans="2:27" ht="33.950000000000003" customHeight="1">
      <c r="B145" s="232" t="s">
        <v>1920</v>
      </c>
      <c r="C145" s="233" t="s">
        <v>1921</v>
      </c>
      <c r="D145" s="234" t="str">
        <f>IF(COUNTIFS($P$10:$P$609,"C10E08",$R$10:$R$609,1,$U$10:$U$609,1)&gt;0,"●","")</f>
        <v>●</v>
      </c>
      <c r="E145" s="235" t="str">
        <f>IF(COUNTIFS($P$10:$P$609,"C10E08",$R$10:$R$609,1,$V$10:$V$609,1)&gt;0,"●","")</f>
        <v/>
      </c>
      <c r="F145" s="236" t="str">
        <f>IF(COUNTIFS($P$10:$P$609,"C10E08",$R$10:$R$609,1,$W$10:$W$609,1)&gt;0,"●","")</f>
        <v/>
      </c>
      <c r="G145" s="237" t="str">
        <f>IF(COUNTIFS($P$10:$P$609,"C10E08",$R$10:$R$609,1,$X$10:$X$609,1)&gt;0,"●","")</f>
        <v/>
      </c>
      <c r="H145" s="238" t="str">
        <f>IF(COUNTIFS($P$10:$P$609,"C10E08",$R$10:$R$609,1,$Y$10:$Y$609,1)&gt;0,"●","")</f>
        <v/>
      </c>
      <c r="I145" s="241" t="str">
        <f>IF(SUMIFS($S$10:$S$609,$P$10:$P$609,"C10E08")=0,"—",SUMIFS($T$10:$T$609,$P$10:$P$609,"C10E08")&amp;"/"&amp;SUMIFS($S$10:$S$609,$P$10:$P$609,"C10E08"))</f>
        <v>0/1</v>
      </c>
      <c r="J145" s="242" t="str">
        <f>IF(SUMIFS($S$10:$S$609,$P$10:$P$609,"C10E08")=0,"",IF(SUMIFS($T$10:$T$609,$P$10:$P$609,"C10E08")=0,"0%",SUMIFS($T$10:$T$609,$P$10:$P$609,"C10E08")/SUMIFS($S$10:$S$609,$P$10:$P$609,"C10E08")))</f>
        <v>0%</v>
      </c>
      <c r="N145" s="32" t="s">
        <v>600</v>
      </c>
      <c r="O145" s="32">
        <v>7</v>
      </c>
      <c r="P145" s="32" t="s">
        <v>601</v>
      </c>
      <c r="Q145" s="32" t="s">
        <v>602</v>
      </c>
      <c r="R145" s="32">
        <v>1</v>
      </c>
      <c r="S145" s="32">
        <f t="shared" si="2"/>
        <v>1</v>
      </c>
      <c r="T145" s="32">
        <f>--('Ch.7 - Résultats dynamiques'!I81="✓ Correct")</f>
        <v>0</v>
      </c>
      <c r="U145" s="32">
        <v>0</v>
      </c>
      <c r="V145" s="32">
        <v>0</v>
      </c>
      <c r="W145" s="32">
        <v>1</v>
      </c>
      <c r="X145" s="32">
        <v>0</v>
      </c>
      <c r="Y145" s="32">
        <v>0</v>
      </c>
      <c r="Z145" s="32" t="s">
        <v>603</v>
      </c>
      <c r="AA145" s="32" t="s">
        <v>593</v>
      </c>
    </row>
    <row r="146" spans="2:27" ht="33.950000000000003" customHeight="1">
      <c r="N146" s="32" t="s">
        <v>604</v>
      </c>
      <c r="O146" s="32">
        <v>7</v>
      </c>
      <c r="P146" s="32" t="s">
        <v>601</v>
      </c>
      <c r="Q146" s="32" t="s">
        <v>605</v>
      </c>
      <c r="R146" s="32">
        <v>1</v>
      </c>
      <c r="S146" s="32">
        <f t="shared" si="2"/>
        <v>1</v>
      </c>
      <c r="T146" s="32">
        <f>--('Ch.7 - Résultats dynamiques'!I106="✓ Correct")</f>
        <v>0</v>
      </c>
      <c r="U146" s="32">
        <v>0</v>
      </c>
      <c r="V146" s="32">
        <v>0</v>
      </c>
      <c r="W146" s="32">
        <v>1</v>
      </c>
      <c r="X146" s="32">
        <v>0</v>
      </c>
      <c r="Y146" s="32">
        <v>0</v>
      </c>
      <c r="Z146" s="32" t="s">
        <v>606</v>
      </c>
      <c r="AA146" s="32" t="s">
        <v>593</v>
      </c>
    </row>
    <row r="147" spans="2:27" ht="33.950000000000003" customHeight="1">
      <c r="N147" s="32" t="s">
        <v>607</v>
      </c>
      <c r="O147" s="32">
        <v>7</v>
      </c>
      <c r="P147" s="32" t="s">
        <v>601</v>
      </c>
      <c r="Q147" s="32" t="s">
        <v>608</v>
      </c>
      <c r="R147" s="32">
        <v>1</v>
      </c>
      <c r="S147" s="32">
        <f t="shared" si="2"/>
        <v>1</v>
      </c>
      <c r="T147" s="32">
        <f>--('Ch.7 - Résultats dynamiques'!I127="✓ Correct")</f>
        <v>0</v>
      </c>
      <c r="U147" s="32">
        <v>0</v>
      </c>
      <c r="V147" s="32">
        <v>0</v>
      </c>
      <c r="W147" s="32">
        <v>1</v>
      </c>
      <c r="X147" s="32">
        <v>0</v>
      </c>
      <c r="Y147" s="32">
        <v>0</v>
      </c>
      <c r="Z147" s="32" t="s">
        <v>609</v>
      </c>
      <c r="AA147" s="32" t="s">
        <v>593</v>
      </c>
    </row>
    <row r="148" spans="2:27" ht="33.950000000000003" customHeight="1">
      <c r="N148" s="32" t="s">
        <v>610</v>
      </c>
      <c r="O148" s="32">
        <v>7</v>
      </c>
      <c r="P148" s="32" t="s">
        <v>601</v>
      </c>
      <c r="Q148" s="32" t="s">
        <v>611</v>
      </c>
      <c r="R148" s="32">
        <v>1</v>
      </c>
      <c r="S148" s="32">
        <f t="shared" si="2"/>
        <v>1</v>
      </c>
      <c r="T148" s="32">
        <f>--('Ch.7 - Résultats dynamiques'!I150="✓ Correct")</f>
        <v>0</v>
      </c>
      <c r="U148" s="32">
        <v>0</v>
      </c>
      <c r="V148" s="32">
        <v>0</v>
      </c>
      <c r="W148" s="32">
        <v>1</v>
      </c>
      <c r="X148" s="32">
        <v>0</v>
      </c>
      <c r="Y148" s="32">
        <v>0</v>
      </c>
      <c r="Z148" s="32" t="s">
        <v>612</v>
      </c>
      <c r="AA148" s="32" t="s">
        <v>593</v>
      </c>
    </row>
    <row r="149" spans="2:27">
      <c r="N149" s="32" t="s">
        <v>613</v>
      </c>
      <c r="O149" s="32">
        <v>7</v>
      </c>
      <c r="P149" s="32" t="s">
        <v>601</v>
      </c>
      <c r="Q149" s="32" t="s">
        <v>614</v>
      </c>
      <c r="R149" s="32">
        <v>1</v>
      </c>
      <c r="S149" s="32">
        <f t="shared" si="2"/>
        <v>1</v>
      </c>
      <c r="T149" s="32">
        <f>--('Ch.7 - Résultats dynamiques'!I176="✓ Correct")</f>
        <v>0</v>
      </c>
      <c r="U149" s="32">
        <v>0</v>
      </c>
      <c r="V149" s="32">
        <v>0</v>
      </c>
      <c r="W149" s="32">
        <v>1</v>
      </c>
      <c r="X149" s="32">
        <v>0</v>
      </c>
      <c r="Y149" s="32">
        <v>0</v>
      </c>
      <c r="Z149" s="32" t="s">
        <v>615</v>
      </c>
      <c r="AA149" s="32" t="s">
        <v>593</v>
      </c>
    </row>
    <row r="150" spans="2:27">
      <c r="N150" s="32" t="s">
        <v>616</v>
      </c>
      <c r="O150" s="32">
        <v>7</v>
      </c>
      <c r="P150" s="32" t="s">
        <v>601</v>
      </c>
      <c r="Q150" s="32" t="s">
        <v>617</v>
      </c>
      <c r="R150" s="32">
        <v>1</v>
      </c>
      <c r="S150" s="32">
        <f t="shared" si="2"/>
        <v>1</v>
      </c>
      <c r="T150" s="32">
        <f>--('Ch.7 - Résultats dynamiques'!I198="✓ Correct")</f>
        <v>0</v>
      </c>
      <c r="U150" s="32">
        <v>0</v>
      </c>
      <c r="V150" s="32">
        <v>0</v>
      </c>
      <c r="W150" s="32">
        <v>1</v>
      </c>
      <c r="X150" s="32">
        <v>0</v>
      </c>
      <c r="Y150" s="32">
        <v>0</v>
      </c>
      <c r="Z150" s="32" t="s">
        <v>618</v>
      </c>
      <c r="AA150" s="32" t="s">
        <v>593</v>
      </c>
    </row>
    <row r="151" spans="2:27">
      <c r="N151" s="32" t="s">
        <v>619</v>
      </c>
      <c r="O151" s="32">
        <v>7</v>
      </c>
      <c r="P151" s="32" t="s">
        <v>620</v>
      </c>
      <c r="Q151" s="32" t="s">
        <v>621</v>
      </c>
      <c r="R151" s="32">
        <v>1</v>
      </c>
      <c r="S151" s="32">
        <f t="shared" si="2"/>
        <v>1</v>
      </c>
      <c r="T151" s="32">
        <f>--('Ch.7 - Résultats dynamiques'!I224="✓ Correct")</f>
        <v>0</v>
      </c>
      <c r="U151" s="32">
        <v>0</v>
      </c>
      <c r="V151" s="32">
        <v>0</v>
      </c>
      <c r="W151" s="32">
        <v>1</v>
      </c>
      <c r="X151" s="32">
        <v>0</v>
      </c>
      <c r="Y151" s="32">
        <v>0</v>
      </c>
      <c r="Z151" s="32" t="s">
        <v>622</v>
      </c>
      <c r="AA151" s="32" t="s">
        <v>593</v>
      </c>
    </row>
    <row r="152" spans="2:27">
      <c r="N152" s="32" t="s">
        <v>623</v>
      </c>
      <c r="O152" s="32">
        <v>7</v>
      </c>
      <c r="P152" s="32" t="s">
        <v>620</v>
      </c>
      <c r="Q152" s="32" t="s">
        <v>624</v>
      </c>
      <c r="R152" s="32">
        <v>1</v>
      </c>
      <c r="S152" s="32">
        <f t="shared" si="2"/>
        <v>1</v>
      </c>
      <c r="T152" s="32">
        <f>--('Ch.7 - Résultats dynamiques'!I250="✓ Correct")</f>
        <v>0</v>
      </c>
      <c r="U152" s="32">
        <v>0</v>
      </c>
      <c r="V152" s="32">
        <v>0</v>
      </c>
      <c r="W152" s="32">
        <v>1</v>
      </c>
      <c r="X152" s="32">
        <v>0</v>
      </c>
      <c r="Y152" s="32">
        <v>0</v>
      </c>
      <c r="Z152" s="32" t="s">
        <v>625</v>
      </c>
      <c r="AA152" s="32" t="s">
        <v>593</v>
      </c>
    </row>
    <row r="153" spans="2:27">
      <c r="N153" s="32" t="s">
        <v>626</v>
      </c>
      <c r="O153" s="32">
        <v>7</v>
      </c>
      <c r="P153" s="32" t="s">
        <v>620</v>
      </c>
      <c r="Q153" s="32" t="s">
        <v>627</v>
      </c>
      <c r="R153" s="32">
        <v>1</v>
      </c>
      <c r="S153" s="32">
        <f t="shared" si="2"/>
        <v>1</v>
      </c>
      <c r="T153" s="32">
        <f>--('Ch.7 - Résultats dynamiques'!I272="✓ Correct")</f>
        <v>0</v>
      </c>
      <c r="U153" s="32">
        <v>0</v>
      </c>
      <c r="V153" s="32">
        <v>0</v>
      </c>
      <c r="W153" s="32">
        <v>1</v>
      </c>
      <c r="X153" s="32">
        <v>0</v>
      </c>
      <c r="Y153" s="32">
        <v>0</v>
      </c>
      <c r="Z153" s="32" t="s">
        <v>628</v>
      </c>
      <c r="AA153" s="32" t="s">
        <v>593</v>
      </c>
    </row>
    <row r="154" spans="2:27">
      <c r="N154" s="32" t="s">
        <v>629</v>
      </c>
      <c r="O154" s="32">
        <v>7</v>
      </c>
      <c r="P154" s="32" t="s">
        <v>620</v>
      </c>
      <c r="Q154" s="32" t="s">
        <v>630</v>
      </c>
      <c r="R154" s="32">
        <v>1</v>
      </c>
      <c r="S154" s="32">
        <f t="shared" si="2"/>
        <v>1</v>
      </c>
      <c r="T154" s="32">
        <f>--('Ch.7 - Résultats dynamiques'!I290="✓ Correct")</f>
        <v>0</v>
      </c>
      <c r="U154" s="32">
        <v>0</v>
      </c>
      <c r="V154" s="32">
        <v>0</v>
      </c>
      <c r="W154" s="32">
        <v>1</v>
      </c>
      <c r="X154" s="32">
        <v>0</v>
      </c>
      <c r="Y154" s="32">
        <v>0</v>
      </c>
      <c r="Z154" s="32" t="s">
        <v>631</v>
      </c>
      <c r="AA154" s="32" t="s">
        <v>593</v>
      </c>
    </row>
    <row r="155" spans="2:27">
      <c r="N155" s="32" t="s">
        <v>632</v>
      </c>
      <c r="O155" s="32">
        <v>7</v>
      </c>
      <c r="P155" s="32" t="s">
        <v>633</v>
      </c>
      <c r="Q155" s="32" t="s">
        <v>634</v>
      </c>
      <c r="R155" s="32">
        <v>1</v>
      </c>
      <c r="S155" s="32">
        <f t="shared" si="2"/>
        <v>1</v>
      </c>
      <c r="T155" s="32">
        <f>--('Ch.7 - Résultats dynamiques'!I320="✓ Correct")</f>
        <v>0</v>
      </c>
      <c r="U155" s="32">
        <v>0</v>
      </c>
      <c r="V155" s="32">
        <v>0</v>
      </c>
      <c r="W155" s="32">
        <v>1</v>
      </c>
      <c r="X155" s="32">
        <v>0</v>
      </c>
      <c r="Y155" s="32">
        <v>0</v>
      </c>
      <c r="Z155" s="32" t="s">
        <v>635</v>
      </c>
      <c r="AA155" s="32" t="s">
        <v>593</v>
      </c>
    </row>
    <row r="156" spans="2:27">
      <c r="N156" s="32" t="s">
        <v>636</v>
      </c>
      <c r="O156" s="32">
        <v>7</v>
      </c>
      <c r="P156" s="32" t="s">
        <v>633</v>
      </c>
      <c r="Q156" s="32" t="s">
        <v>637</v>
      </c>
      <c r="R156" s="32">
        <v>1</v>
      </c>
      <c r="S156" s="32">
        <f t="shared" si="2"/>
        <v>1</v>
      </c>
      <c r="T156" s="32">
        <f>--('Ch.7 - Résultats dynamiques'!I348="✓ Correct")</f>
        <v>0</v>
      </c>
      <c r="U156" s="32">
        <v>0</v>
      </c>
      <c r="V156" s="32">
        <v>0</v>
      </c>
      <c r="W156" s="32">
        <v>1</v>
      </c>
      <c r="X156" s="32">
        <v>0</v>
      </c>
      <c r="Y156" s="32">
        <v>0</v>
      </c>
      <c r="Z156" s="32" t="s">
        <v>638</v>
      </c>
      <c r="AA156" s="32" t="s">
        <v>593</v>
      </c>
    </row>
    <row r="157" spans="2:27">
      <c r="N157" s="32" t="s">
        <v>639</v>
      </c>
      <c r="O157" s="32">
        <v>7</v>
      </c>
      <c r="P157" s="32" t="s">
        <v>633</v>
      </c>
      <c r="Q157" s="32" t="s">
        <v>640</v>
      </c>
      <c r="R157" s="32">
        <v>1</v>
      </c>
      <c r="S157" s="32">
        <f t="shared" si="2"/>
        <v>1</v>
      </c>
      <c r="T157" s="32">
        <f>--('Ch.7 - Résultats dynamiques'!I376="✓ Correct")</f>
        <v>0</v>
      </c>
      <c r="U157" s="32">
        <v>0</v>
      </c>
      <c r="V157" s="32">
        <v>0</v>
      </c>
      <c r="W157" s="32">
        <v>1</v>
      </c>
      <c r="X157" s="32">
        <v>0</v>
      </c>
      <c r="Y157" s="32">
        <v>0</v>
      </c>
      <c r="Z157" s="32" t="s">
        <v>641</v>
      </c>
      <c r="AA157" s="32" t="s">
        <v>593</v>
      </c>
    </row>
    <row r="158" spans="2:27">
      <c r="N158" s="32" t="s">
        <v>642</v>
      </c>
      <c r="O158" s="32">
        <v>7</v>
      </c>
      <c r="P158" s="32" t="s">
        <v>633</v>
      </c>
      <c r="Q158" s="32" t="s">
        <v>643</v>
      </c>
      <c r="R158" s="32">
        <v>1</v>
      </c>
      <c r="S158" s="32">
        <f t="shared" si="2"/>
        <v>1</v>
      </c>
      <c r="T158" s="32">
        <f>--('Ch.7 - Résultats dynamiques'!I394="✓ Correct")</f>
        <v>0</v>
      </c>
      <c r="U158" s="32">
        <v>0</v>
      </c>
      <c r="V158" s="32">
        <v>0</v>
      </c>
      <c r="W158" s="32">
        <v>1</v>
      </c>
      <c r="X158" s="32">
        <v>0</v>
      </c>
      <c r="Y158" s="32">
        <v>0</v>
      </c>
      <c r="Z158" s="32" t="s">
        <v>644</v>
      </c>
      <c r="AA158" s="32" t="s">
        <v>593</v>
      </c>
    </row>
    <row r="159" spans="2:27">
      <c r="N159" s="32" t="s">
        <v>645</v>
      </c>
      <c r="O159" s="32">
        <v>7</v>
      </c>
      <c r="P159" s="32" t="s">
        <v>646</v>
      </c>
      <c r="Q159" s="32" t="s">
        <v>647</v>
      </c>
      <c r="R159" s="32">
        <v>1</v>
      </c>
      <c r="S159" s="32">
        <f t="shared" si="2"/>
        <v>1</v>
      </c>
      <c r="T159" s="32">
        <f>--('Ch.7 - Résultats dynamiques'!I426="✓ Correct")</f>
        <v>0</v>
      </c>
      <c r="U159" s="32">
        <v>0</v>
      </c>
      <c r="V159" s="32">
        <v>0</v>
      </c>
      <c r="W159" s="32">
        <v>1</v>
      </c>
      <c r="X159" s="32">
        <v>0</v>
      </c>
      <c r="Y159" s="32">
        <v>0</v>
      </c>
      <c r="Z159" s="32" t="s">
        <v>648</v>
      </c>
      <c r="AA159" s="32" t="s">
        <v>593</v>
      </c>
    </row>
    <row r="160" spans="2:27">
      <c r="N160" s="32" t="s">
        <v>649</v>
      </c>
      <c r="O160" s="32">
        <v>7</v>
      </c>
      <c r="P160" s="32" t="s">
        <v>646</v>
      </c>
      <c r="Q160" s="32" t="s">
        <v>650</v>
      </c>
      <c r="R160" s="32">
        <v>1</v>
      </c>
      <c r="S160" s="32">
        <f t="shared" si="2"/>
        <v>1</v>
      </c>
      <c r="T160" s="32">
        <f>--('Ch.7 - Résultats dynamiques'!I454="✓ Correct")</f>
        <v>0</v>
      </c>
      <c r="U160" s="32">
        <v>0</v>
      </c>
      <c r="V160" s="32">
        <v>0</v>
      </c>
      <c r="W160" s="32">
        <v>1</v>
      </c>
      <c r="X160" s="32">
        <v>0</v>
      </c>
      <c r="Y160" s="32">
        <v>0</v>
      </c>
      <c r="Z160" s="32" t="s">
        <v>651</v>
      </c>
      <c r="AA160" s="32" t="s">
        <v>593</v>
      </c>
    </row>
    <row r="161" spans="14:27">
      <c r="N161" s="32" t="s">
        <v>652</v>
      </c>
      <c r="O161" s="32">
        <v>7</v>
      </c>
      <c r="P161" s="32" t="s">
        <v>590</v>
      </c>
      <c r="Q161" s="32" t="s">
        <v>653</v>
      </c>
      <c r="R161" s="32">
        <v>1</v>
      </c>
      <c r="S161" s="32">
        <f t="shared" si="2"/>
        <v>1</v>
      </c>
      <c r="T161" s="32">
        <f>--('Ch.7 - Résultats dynamiques'!I480="✓ Correct")</f>
        <v>0</v>
      </c>
      <c r="U161" s="32">
        <v>0</v>
      </c>
      <c r="V161" s="32">
        <v>0</v>
      </c>
      <c r="W161" s="32">
        <v>1</v>
      </c>
      <c r="X161" s="32">
        <v>0</v>
      </c>
      <c r="Y161" s="32">
        <v>0</v>
      </c>
      <c r="Z161" s="32" t="s">
        <v>654</v>
      </c>
      <c r="AA161" s="32" t="s">
        <v>593</v>
      </c>
    </row>
    <row r="162" spans="14:27">
      <c r="N162" s="32" t="s">
        <v>655</v>
      </c>
      <c r="O162" s="32">
        <v>7</v>
      </c>
      <c r="P162" s="32" t="s">
        <v>656</v>
      </c>
      <c r="Q162" s="32" t="s">
        <v>657</v>
      </c>
      <c r="R162" s="32">
        <v>1</v>
      </c>
      <c r="S162" s="32">
        <f t="shared" si="2"/>
        <v>1</v>
      </c>
      <c r="T162" s="32">
        <f>--('Ch.7 - Résultats dynamiques'!I501="✓ Correct")</f>
        <v>0</v>
      </c>
      <c r="U162" s="32">
        <v>0</v>
      </c>
      <c r="V162" s="32">
        <v>0</v>
      </c>
      <c r="W162" s="32">
        <v>1</v>
      </c>
      <c r="X162" s="32">
        <v>0</v>
      </c>
      <c r="Y162" s="32">
        <v>0</v>
      </c>
      <c r="Z162" s="32" t="s">
        <v>658</v>
      </c>
      <c r="AA162" s="32" t="s">
        <v>593</v>
      </c>
    </row>
    <row r="163" spans="14:27">
      <c r="N163" s="32" t="s">
        <v>659</v>
      </c>
      <c r="O163" s="32">
        <v>7</v>
      </c>
      <c r="P163" s="32" t="s">
        <v>656</v>
      </c>
      <c r="Q163" s="32" t="s">
        <v>660</v>
      </c>
      <c r="R163" s="32">
        <v>1</v>
      </c>
      <c r="S163" s="32">
        <f t="shared" si="2"/>
        <v>1</v>
      </c>
      <c r="T163" s="32">
        <f>--('Ch.7 - Résultats dynamiques'!I520="✓ Correct")</f>
        <v>0</v>
      </c>
      <c r="U163" s="32">
        <v>0</v>
      </c>
      <c r="V163" s="32">
        <v>0</v>
      </c>
      <c r="W163" s="32">
        <v>1</v>
      </c>
      <c r="X163" s="32">
        <v>0</v>
      </c>
      <c r="Y163" s="32">
        <v>0</v>
      </c>
      <c r="Z163" s="32" t="s">
        <v>661</v>
      </c>
      <c r="AA163" s="32" t="s">
        <v>593</v>
      </c>
    </row>
    <row r="164" spans="14:27">
      <c r="N164" s="32" t="s">
        <v>662</v>
      </c>
      <c r="O164" s="32">
        <v>7</v>
      </c>
      <c r="P164" s="32" t="s">
        <v>656</v>
      </c>
      <c r="Q164" s="32" t="s">
        <v>663</v>
      </c>
      <c r="R164" s="32">
        <v>1</v>
      </c>
      <c r="S164" s="32">
        <f t="shared" si="2"/>
        <v>1</v>
      </c>
      <c r="T164" s="32">
        <f>--('Ch.7 - Résultats dynamiques'!I544="✓ Correct")</f>
        <v>0</v>
      </c>
      <c r="U164" s="32">
        <v>0</v>
      </c>
      <c r="V164" s="32">
        <v>0</v>
      </c>
      <c r="W164" s="32">
        <v>1</v>
      </c>
      <c r="X164" s="32">
        <v>0</v>
      </c>
      <c r="Y164" s="32">
        <v>0</v>
      </c>
      <c r="Z164" s="32" t="s">
        <v>664</v>
      </c>
      <c r="AA164" s="32" t="s">
        <v>593</v>
      </c>
    </row>
    <row r="165" spans="14:27">
      <c r="N165" s="32" t="s">
        <v>665</v>
      </c>
      <c r="O165" s="32">
        <v>7</v>
      </c>
      <c r="P165" s="32" t="s">
        <v>666</v>
      </c>
      <c r="Q165" s="32" t="s">
        <v>667</v>
      </c>
      <c r="R165" s="32">
        <v>1</v>
      </c>
      <c r="S165" s="32">
        <f t="shared" si="2"/>
        <v>1</v>
      </c>
      <c r="T165" s="32">
        <f>--('Ch.7 - Résultats dynamiques'!I569="✓ Correct")</f>
        <v>0</v>
      </c>
      <c r="U165" s="32">
        <v>0</v>
      </c>
      <c r="V165" s="32">
        <v>0</v>
      </c>
      <c r="W165" s="32">
        <v>1</v>
      </c>
      <c r="X165" s="32">
        <v>0</v>
      </c>
      <c r="Y165" s="32">
        <v>0</v>
      </c>
      <c r="Z165" s="32" t="s">
        <v>668</v>
      </c>
      <c r="AA165" s="32" t="s">
        <v>593</v>
      </c>
    </row>
    <row r="166" spans="14:27">
      <c r="N166" s="32" t="s">
        <v>669</v>
      </c>
      <c r="O166" s="32">
        <v>7</v>
      </c>
      <c r="P166" s="32" t="s">
        <v>666</v>
      </c>
      <c r="Q166" s="32" t="s">
        <v>670</v>
      </c>
      <c r="R166" s="32">
        <v>1</v>
      </c>
      <c r="S166" s="32">
        <f t="shared" si="2"/>
        <v>1</v>
      </c>
      <c r="T166" s="32">
        <f>--('Ch.7 - Résultats dynamiques'!I592="✓ Correct")</f>
        <v>0</v>
      </c>
      <c r="U166" s="32">
        <v>0</v>
      </c>
      <c r="V166" s="32">
        <v>0</v>
      </c>
      <c r="W166" s="32">
        <v>1</v>
      </c>
      <c r="X166" s="32">
        <v>0</v>
      </c>
      <c r="Y166" s="32">
        <v>0</v>
      </c>
      <c r="Z166" s="32" t="s">
        <v>671</v>
      </c>
      <c r="AA166" s="32" t="s">
        <v>593</v>
      </c>
    </row>
    <row r="167" spans="14:27">
      <c r="N167" s="32" t="s">
        <v>672</v>
      </c>
      <c r="O167" s="32">
        <v>7</v>
      </c>
      <c r="P167" s="32" t="s">
        <v>666</v>
      </c>
      <c r="Q167" s="32" t="s">
        <v>673</v>
      </c>
      <c r="R167" s="32">
        <v>1</v>
      </c>
      <c r="S167" s="32">
        <f t="shared" si="2"/>
        <v>1</v>
      </c>
      <c r="T167" s="32">
        <f>--('Ch.7 - Résultats dynamiques'!I617="✓ Correct")</f>
        <v>0</v>
      </c>
      <c r="U167" s="32">
        <v>0</v>
      </c>
      <c r="V167" s="32">
        <v>0</v>
      </c>
      <c r="W167" s="32">
        <v>1</v>
      </c>
      <c r="X167" s="32">
        <v>0</v>
      </c>
      <c r="Y167" s="32">
        <v>0</v>
      </c>
      <c r="Z167" s="32" t="s">
        <v>674</v>
      </c>
      <c r="AA167" s="32" t="s">
        <v>593</v>
      </c>
    </row>
    <row r="168" spans="14:27">
      <c r="N168" s="32" t="s">
        <v>675</v>
      </c>
      <c r="O168" s="32">
        <v>7</v>
      </c>
      <c r="P168" s="32" t="s">
        <v>666</v>
      </c>
      <c r="Q168" s="32" t="s">
        <v>676</v>
      </c>
      <c r="R168" s="32">
        <v>1</v>
      </c>
      <c r="S168" s="32">
        <f t="shared" si="2"/>
        <v>1</v>
      </c>
      <c r="T168" s="32">
        <f>--('Ch.7 - Résultats dynamiques'!I639="✓ Correct")</f>
        <v>0</v>
      </c>
      <c r="U168" s="32">
        <v>0</v>
      </c>
      <c r="V168" s="32">
        <v>0</v>
      </c>
      <c r="W168" s="32">
        <v>1</v>
      </c>
      <c r="X168" s="32">
        <v>0</v>
      </c>
      <c r="Y168" s="32">
        <v>0</v>
      </c>
      <c r="Z168" s="32" t="s">
        <v>677</v>
      </c>
      <c r="AA168" s="32" t="s">
        <v>593</v>
      </c>
    </row>
    <row r="169" spans="14:27">
      <c r="N169" s="32" t="s">
        <v>678</v>
      </c>
      <c r="O169" s="32">
        <v>7</v>
      </c>
      <c r="P169" s="32" t="s">
        <v>679</v>
      </c>
      <c r="Q169" s="32" t="s">
        <v>680</v>
      </c>
      <c r="R169" s="32">
        <v>1</v>
      </c>
      <c r="S169" s="32">
        <f t="shared" si="2"/>
        <v>1</v>
      </c>
      <c r="T169" s="32">
        <f>--('Ch.7 - Résultats dynamiques'!I667="✓ Correct")</f>
        <v>0</v>
      </c>
      <c r="U169" s="32">
        <v>0</v>
      </c>
      <c r="V169" s="32">
        <v>0</v>
      </c>
      <c r="W169" s="32">
        <v>1</v>
      </c>
      <c r="X169" s="32">
        <v>0</v>
      </c>
      <c r="Y169" s="32">
        <v>0</v>
      </c>
      <c r="Z169" s="32" t="s">
        <v>681</v>
      </c>
      <c r="AA169" s="32" t="s">
        <v>593</v>
      </c>
    </row>
    <row r="170" spans="14:27">
      <c r="N170" s="32" t="s">
        <v>682</v>
      </c>
      <c r="O170" s="32">
        <v>7</v>
      </c>
      <c r="P170" s="32" t="s">
        <v>679</v>
      </c>
      <c r="Q170" s="32" t="s">
        <v>683</v>
      </c>
      <c r="R170" s="32">
        <v>1</v>
      </c>
      <c r="S170" s="32">
        <f t="shared" si="2"/>
        <v>1</v>
      </c>
      <c r="T170" s="32">
        <f>--('Ch.7 - Résultats dynamiques'!I690="✓ Correct")</f>
        <v>0</v>
      </c>
      <c r="U170" s="32">
        <v>0</v>
      </c>
      <c r="V170" s="32">
        <v>0</v>
      </c>
      <c r="W170" s="32">
        <v>1</v>
      </c>
      <c r="X170" s="32">
        <v>0</v>
      </c>
      <c r="Y170" s="32">
        <v>0</v>
      </c>
      <c r="Z170" s="32" t="s">
        <v>684</v>
      </c>
      <c r="AA170" s="32" t="s">
        <v>593</v>
      </c>
    </row>
    <row r="171" spans="14:27">
      <c r="N171" s="32" t="s">
        <v>685</v>
      </c>
      <c r="O171" s="32">
        <v>7</v>
      </c>
      <c r="P171" s="32" t="s">
        <v>679</v>
      </c>
      <c r="Q171" s="32" t="s">
        <v>686</v>
      </c>
      <c r="R171" s="32">
        <v>1</v>
      </c>
      <c r="S171" s="32">
        <f t="shared" si="2"/>
        <v>1</v>
      </c>
      <c r="T171" s="32">
        <f>--('Ch.7 - Résultats dynamiques'!I714="✓ Correct")</f>
        <v>0</v>
      </c>
      <c r="U171" s="32">
        <v>0</v>
      </c>
      <c r="V171" s="32">
        <v>0</v>
      </c>
      <c r="W171" s="32">
        <v>1</v>
      </c>
      <c r="X171" s="32">
        <v>0</v>
      </c>
      <c r="Y171" s="32">
        <v>0</v>
      </c>
      <c r="Z171" s="32" t="s">
        <v>687</v>
      </c>
      <c r="AA171" s="32" t="s">
        <v>593</v>
      </c>
    </row>
    <row r="172" spans="14:27">
      <c r="N172" s="32" t="s">
        <v>688</v>
      </c>
      <c r="O172" s="32">
        <v>8</v>
      </c>
      <c r="P172" s="32" t="s">
        <v>689</v>
      </c>
      <c r="Q172" s="32" t="s">
        <v>690</v>
      </c>
      <c r="R172" s="32">
        <v>1</v>
      </c>
      <c r="S172" s="32">
        <f t="shared" si="2"/>
        <v>1</v>
      </c>
      <c r="T172" s="32">
        <f>--('Ch.8 - Plusieurs fonctions'!I42="✓ Correct")</f>
        <v>0</v>
      </c>
      <c r="U172" s="32">
        <v>1</v>
      </c>
      <c r="V172" s="32">
        <v>0</v>
      </c>
      <c r="W172" s="32">
        <v>0</v>
      </c>
      <c r="X172" s="32">
        <v>0</v>
      </c>
      <c r="Y172" s="32">
        <v>0</v>
      </c>
      <c r="Z172" s="32" t="s">
        <v>691</v>
      </c>
      <c r="AA172" s="32" t="s">
        <v>692</v>
      </c>
    </row>
    <row r="173" spans="14:27">
      <c r="N173" s="32" t="s">
        <v>693</v>
      </c>
      <c r="O173" s="32">
        <v>8</v>
      </c>
      <c r="P173" s="32" t="s">
        <v>689</v>
      </c>
      <c r="Q173" s="32" t="s">
        <v>694</v>
      </c>
      <c r="R173" s="32">
        <v>1</v>
      </c>
      <c r="S173" s="32">
        <f t="shared" si="2"/>
        <v>1</v>
      </c>
      <c r="T173" s="32">
        <f>--('Ch.8 - Plusieurs fonctions'!I54="✓ Correct")</f>
        <v>0</v>
      </c>
      <c r="U173" s="32">
        <v>1</v>
      </c>
      <c r="V173" s="32">
        <v>0</v>
      </c>
      <c r="W173" s="32">
        <v>0</v>
      </c>
      <c r="X173" s="32">
        <v>0</v>
      </c>
      <c r="Y173" s="32">
        <v>0</v>
      </c>
      <c r="Z173" s="32" t="s">
        <v>695</v>
      </c>
      <c r="AA173" s="32" t="s">
        <v>692</v>
      </c>
    </row>
    <row r="174" spans="14:27">
      <c r="N174" s="32" t="s">
        <v>696</v>
      </c>
      <c r="O174" s="32">
        <v>8</v>
      </c>
      <c r="P174" s="32" t="s">
        <v>689</v>
      </c>
      <c r="Q174" s="32" t="s">
        <v>697</v>
      </c>
      <c r="R174" s="32">
        <v>1</v>
      </c>
      <c r="S174" s="32">
        <f t="shared" si="2"/>
        <v>1</v>
      </c>
      <c r="T174" s="32">
        <f>--('Ch.8 - Plusieurs fonctions'!I71="✓ Correct")</f>
        <v>0</v>
      </c>
      <c r="U174" s="32">
        <v>1</v>
      </c>
      <c r="V174" s="32">
        <v>0</v>
      </c>
      <c r="W174" s="32">
        <v>0</v>
      </c>
      <c r="X174" s="32">
        <v>0</v>
      </c>
      <c r="Y174" s="32">
        <v>0</v>
      </c>
      <c r="Z174" s="32" t="s">
        <v>698</v>
      </c>
      <c r="AA174" s="32" t="s">
        <v>692</v>
      </c>
    </row>
    <row r="175" spans="14:27">
      <c r="N175" s="32" t="s">
        <v>699</v>
      </c>
      <c r="O175" s="32">
        <v>8</v>
      </c>
      <c r="P175" s="32" t="s">
        <v>689</v>
      </c>
      <c r="Q175" s="32" t="s">
        <v>700</v>
      </c>
      <c r="R175" s="32">
        <v>1</v>
      </c>
      <c r="S175" s="32">
        <f t="shared" si="2"/>
        <v>1</v>
      </c>
      <c r="T175" s="32">
        <f>--('Ch.8 - Plusieurs fonctions'!I83="✓ Correct")</f>
        <v>0</v>
      </c>
      <c r="U175" s="32">
        <v>1</v>
      </c>
      <c r="V175" s="32">
        <v>0</v>
      </c>
      <c r="W175" s="32">
        <v>0</v>
      </c>
      <c r="X175" s="32">
        <v>0</v>
      </c>
      <c r="Y175" s="32">
        <v>0</v>
      </c>
      <c r="Z175" s="32" t="s">
        <v>701</v>
      </c>
      <c r="AA175" s="32" t="s">
        <v>692</v>
      </c>
    </row>
    <row r="176" spans="14:27">
      <c r="N176" s="32" t="s">
        <v>702</v>
      </c>
      <c r="O176" s="32">
        <v>8</v>
      </c>
      <c r="P176" s="32" t="s">
        <v>703</v>
      </c>
      <c r="Q176" s="32" t="s">
        <v>704</v>
      </c>
      <c r="R176" s="32">
        <v>1</v>
      </c>
      <c r="S176" s="32">
        <f t="shared" si="2"/>
        <v>1</v>
      </c>
      <c r="T176" s="32">
        <f>--('Ch.8 - Plusieurs fonctions'!I106="✓ Correct")</f>
        <v>0</v>
      </c>
      <c r="U176" s="32">
        <v>0</v>
      </c>
      <c r="V176" s="32">
        <v>1</v>
      </c>
      <c r="W176" s="32">
        <v>0</v>
      </c>
      <c r="X176" s="32">
        <v>0</v>
      </c>
      <c r="Y176" s="32">
        <v>0</v>
      </c>
      <c r="Z176" s="32" t="s">
        <v>705</v>
      </c>
      <c r="AA176" s="32" t="s">
        <v>692</v>
      </c>
    </row>
    <row r="177" spans="14:27">
      <c r="N177" s="32" t="s">
        <v>706</v>
      </c>
      <c r="O177" s="32">
        <v>8</v>
      </c>
      <c r="P177" s="32" t="s">
        <v>703</v>
      </c>
      <c r="Q177" s="32" t="s">
        <v>707</v>
      </c>
      <c r="R177" s="32">
        <v>1</v>
      </c>
      <c r="S177" s="32">
        <f t="shared" si="2"/>
        <v>1</v>
      </c>
      <c r="T177" s="32">
        <f>--('Ch.8 - Plusieurs fonctions'!I127="✓ Correct")</f>
        <v>0</v>
      </c>
      <c r="U177" s="32">
        <v>1</v>
      </c>
      <c r="V177" s="32">
        <v>0</v>
      </c>
      <c r="W177" s="32">
        <v>0</v>
      </c>
      <c r="X177" s="32">
        <v>0</v>
      </c>
      <c r="Y177" s="32">
        <v>0</v>
      </c>
      <c r="Z177" s="32" t="s">
        <v>708</v>
      </c>
      <c r="AA177" s="32" t="s">
        <v>692</v>
      </c>
    </row>
    <row r="178" spans="14:27">
      <c r="N178" s="32" t="s">
        <v>709</v>
      </c>
      <c r="O178" s="32">
        <v>8</v>
      </c>
      <c r="P178" s="32" t="s">
        <v>703</v>
      </c>
      <c r="Q178" s="32" t="s">
        <v>710</v>
      </c>
      <c r="R178" s="32">
        <v>1</v>
      </c>
      <c r="S178" s="32">
        <f t="shared" si="2"/>
        <v>1</v>
      </c>
      <c r="T178" s="32">
        <f>--('Ch.8 - Plusieurs fonctions'!I147="✓ Correct")</f>
        <v>0</v>
      </c>
      <c r="U178" s="32">
        <v>1</v>
      </c>
      <c r="V178" s="32">
        <v>0</v>
      </c>
      <c r="W178" s="32">
        <v>1</v>
      </c>
      <c r="X178" s="32">
        <v>0</v>
      </c>
      <c r="Y178" s="32">
        <v>0</v>
      </c>
      <c r="Z178" s="32" t="s">
        <v>711</v>
      </c>
      <c r="AA178" s="32" t="s">
        <v>692</v>
      </c>
    </row>
    <row r="179" spans="14:27">
      <c r="N179" s="32" t="s">
        <v>712</v>
      </c>
      <c r="O179" s="32">
        <v>8</v>
      </c>
      <c r="P179" s="32" t="s">
        <v>703</v>
      </c>
      <c r="Q179" s="32" t="s">
        <v>713</v>
      </c>
      <c r="R179" s="32">
        <v>1</v>
      </c>
      <c r="S179" s="32">
        <f t="shared" si="2"/>
        <v>1</v>
      </c>
      <c r="T179" s="32">
        <f>--('Ch.8 - Plusieurs fonctions'!I169="✓ Correct")</f>
        <v>0</v>
      </c>
      <c r="U179" s="32">
        <v>1</v>
      </c>
      <c r="V179" s="32">
        <v>0</v>
      </c>
      <c r="W179" s="32">
        <v>0</v>
      </c>
      <c r="X179" s="32">
        <v>0</v>
      </c>
      <c r="Y179" s="32">
        <v>0</v>
      </c>
      <c r="Z179" s="32" t="s">
        <v>714</v>
      </c>
      <c r="AA179" s="32" t="s">
        <v>692</v>
      </c>
    </row>
    <row r="180" spans="14:27">
      <c r="N180" s="32" t="s">
        <v>715</v>
      </c>
      <c r="O180" s="32">
        <v>8</v>
      </c>
      <c r="P180" s="32" t="s">
        <v>716</v>
      </c>
      <c r="Q180" s="32" t="s">
        <v>717</v>
      </c>
      <c r="R180" s="32">
        <v>1</v>
      </c>
      <c r="S180" s="32">
        <f t="shared" si="2"/>
        <v>1</v>
      </c>
      <c r="T180" s="32">
        <f>--('Ch.8 - Plusieurs fonctions'!I190="✓ Correct")</f>
        <v>0</v>
      </c>
      <c r="U180" s="32">
        <v>1</v>
      </c>
      <c r="V180" s="32">
        <v>0</v>
      </c>
      <c r="W180" s="32">
        <v>1</v>
      </c>
      <c r="X180" s="32">
        <v>0</v>
      </c>
      <c r="Y180" s="32">
        <v>0</v>
      </c>
      <c r="Z180" s="32" t="s">
        <v>718</v>
      </c>
      <c r="AA180" s="32" t="s">
        <v>692</v>
      </c>
    </row>
    <row r="181" spans="14:27">
      <c r="N181" s="32" t="s">
        <v>719</v>
      </c>
      <c r="O181" s="32">
        <v>8</v>
      </c>
      <c r="P181" s="32" t="s">
        <v>716</v>
      </c>
      <c r="Q181" s="32" t="s">
        <v>720</v>
      </c>
      <c r="R181" s="32">
        <v>1</v>
      </c>
      <c r="S181" s="32">
        <f t="shared" si="2"/>
        <v>1</v>
      </c>
      <c r="T181" s="32">
        <f>--('Ch.8 - Plusieurs fonctions'!I209="✓ Correct")</f>
        <v>0</v>
      </c>
      <c r="U181" s="32">
        <v>1</v>
      </c>
      <c r="V181" s="32">
        <v>0</v>
      </c>
      <c r="W181" s="32">
        <v>0</v>
      </c>
      <c r="X181" s="32">
        <v>1</v>
      </c>
      <c r="Y181" s="32">
        <v>0</v>
      </c>
      <c r="Z181" s="32" t="s">
        <v>721</v>
      </c>
      <c r="AA181" s="32" t="s">
        <v>692</v>
      </c>
    </row>
    <row r="182" spans="14:27">
      <c r="N182" s="32" t="s">
        <v>722</v>
      </c>
      <c r="O182" s="32">
        <v>8</v>
      </c>
      <c r="P182" s="32" t="s">
        <v>716</v>
      </c>
      <c r="Q182" s="32" t="s">
        <v>723</v>
      </c>
      <c r="R182" s="32">
        <v>1</v>
      </c>
      <c r="S182" s="32">
        <f t="shared" si="2"/>
        <v>1</v>
      </c>
      <c r="T182" s="32">
        <f>--('Ch.8 - Plusieurs fonctions'!I230="✓ Correct")</f>
        <v>0</v>
      </c>
      <c r="U182" s="32">
        <v>1</v>
      </c>
      <c r="V182" s="32">
        <v>0</v>
      </c>
      <c r="W182" s="32">
        <v>1</v>
      </c>
      <c r="X182" s="32">
        <v>0</v>
      </c>
      <c r="Y182" s="32">
        <v>0</v>
      </c>
      <c r="Z182" s="32" t="s">
        <v>724</v>
      </c>
      <c r="AA182" s="32" t="s">
        <v>692</v>
      </c>
    </row>
    <row r="183" spans="14:27">
      <c r="N183" s="32" t="s">
        <v>725</v>
      </c>
      <c r="O183" s="32">
        <v>8</v>
      </c>
      <c r="P183" s="32" t="s">
        <v>726</v>
      </c>
      <c r="Q183" s="32" t="s">
        <v>727</v>
      </c>
      <c r="R183" s="32">
        <v>1</v>
      </c>
      <c r="S183" s="32">
        <f t="shared" si="2"/>
        <v>1</v>
      </c>
      <c r="T183" s="32">
        <f>--('Ch.8 - Plusieurs fonctions'!I253="✓ Correct")</f>
        <v>0</v>
      </c>
      <c r="U183" s="32">
        <v>1</v>
      </c>
      <c r="V183" s="32">
        <v>0</v>
      </c>
      <c r="W183" s="32">
        <v>0</v>
      </c>
      <c r="X183" s="32">
        <v>0</v>
      </c>
      <c r="Y183" s="32">
        <v>0</v>
      </c>
      <c r="Z183" s="32" t="s">
        <v>728</v>
      </c>
      <c r="AA183" s="32" t="s">
        <v>692</v>
      </c>
    </row>
    <row r="184" spans="14:27">
      <c r="N184" s="32" t="s">
        <v>729</v>
      </c>
      <c r="O184" s="32">
        <v>8</v>
      </c>
      <c r="P184" s="32" t="s">
        <v>726</v>
      </c>
      <c r="Q184" s="32" t="s">
        <v>730</v>
      </c>
      <c r="R184" s="32">
        <v>1</v>
      </c>
      <c r="S184" s="32">
        <f t="shared" si="2"/>
        <v>1</v>
      </c>
      <c r="T184" s="32">
        <f>--('Ch.8 - Plusieurs fonctions'!I272="✓ Correct")</f>
        <v>0</v>
      </c>
      <c r="U184" s="32">
        <v>1</v>
      </c>
      <c r="V184" s="32">
        <v>0</v>
      </c>
      <c r="W184" s="32">
        <v>1</v>
      </c>
      <c r="X184" s="32">
        <v>0</v>
      </c>
      <c r="Y184" s="32">
        <v>0</v>
      </c>
      <c r="Z184" s="32" t="s">
        <v>731</v>
      </c>
      <c r="AA184" s="32" t="s">
        <v>692</v>
      </c>
    </row>
    <row r="185" spans="14:27">
      <c r="N185" s="32" t="s">
        <v>732</v>
      </c>
      <c r="O185" s="32">
        <v>8</v>
      </c>
      <c r="P185" s="32" t="s">
        <v>726</v>
      </c>
      <c r="Q185" s="32" t="s">
        <v>733</v>
      </c>
      <c r="R185" s="32">
        <v>1</v>
      </c>
      <c r="S185" s="32">
        <f t="shared" si="2"/>
        <v>1</v>
      </c>
      <c r="T185" s="32">
        <f>--('Ch.8 - Plusieurs fonctions'!I295="✓ Correct")</f>
        <v>0</v>
      </c>
      <c r="U185" s="32">
        <v>1</v>
      </c>
      <c r="V185" s="32">
        <v>0</v>
      </c>
      <c r="W185" s="32">
        <v>1</v>
      </c>
      <c r="X185" s="32">
        <v>0</v>
      </c>
      <c r="Y185" s="32">
        <v>0</v>
      </c>
      <c r="Z185" s="32" t="s">
        <v>734</v>
      </c>
      <c r="AA185" s="32" t="s">
        <v>692</v>
      </c>
    </row>
    <row r="186" spans="14:27">
      <c r="N186" s="32" t="s">
        <v>735</v>
      </c>
      <c r="O186" s="32">
        <v>8</v>
      </c>
      <c r="P186" s="32" t="s">
        <v>726</v>
      </c>
      <c r="Q186" s="32" t="s">
        <v>736</v>
      </c>
      <c r="R186" s="32">
        <v>1</v>
      </c>
      <c r="S186" s="32">
        <f t="shared" si="2"/>
        <v>1</v>
      </c>
      <c r="T186" s="32">
        <f>--('Ch.8 - Plusieurs fonctions'!I316="✓ Correct")</f>
        <v>0</v>
      </c>
      <c r="U186" s="32">
        <v>1</v>
      </c>
      <c r="V186" s="32">
        <v>0</v>
      </c>
      <c r="W186" s="32">
        <v>1</v>
      </c>
      <c r="X186" s="32">
        <v>0</v>
      </c>
      <c r="Y186" s="32">
        <v>0</v>
      </c>
      <c r="Z186" s="32" t="s">
        <v>737</v>
      </c>
      <c r="AA186" s="32" t="s">
        <v>692</v>
      </c>
    </row>
    <row r="187" spans="14:27">
      <c r="N187" s="32" t="s">
        <v>738</v>
      </c>
      <c r="O187" s="32">
        <v>8</v>
      </c>
      <c r="P187" s="32" t="s">
        <v>739</v>
      </c>
      <c r="Q187" s="32" t="s">
        <v>740</v>
      </c>
      <c r="R187" s="32">
        <v>1</v>
      </c>
      <c r="S187" s="32">
        <f t="shared" si="2"/>
        <v>1</v>
      </c>
      <c r="T187" s="32">
        <f>--('Ch.8 - Plusieurs fonctions'!I328="✓ Correct")</f>
        <v>0</v>
      </c>
      <c r="U187" s="32">
        <v>1</v>
      </c>
      <c r="V187" s="32">
        <v>0</v>
      </c>
      <c r="W187" s="32">
        <v>0</v>
      </c>
      <c r="X187" s="32">
        <v>0</v>
      </c>
      <c r="Y187" s="32">
        <v>0</v>
      </c>
      <c r="Z187" s="32" t="s">
        <v>741</v>
      </c>
      <c r="AA187" s="32" t="s">
        <v>692</v>
      </c>
    </row>
    <row r="188" spans="14:27">
      <c r="N188" s="32" t="s">
        <v>742</v>
      </c>
      <c r="O188" s="32">
        <v>8</v>
      </c>
      <c r="P188" s="32" t="s">
        <v>739</v>
      </c>
      <c r="Q188" s="32" t="s">
        <v>743</v>
      </c>
      <c r="R188" s="32">
        <v>1</v>
      </c>
      <c r="S188" s="32">
        <f t="shared" si="2"/>
        <v>1</v>
      </c>
      <c r="T188" s="32">
        <f>--('Ch.8 - Plusieurs fonctions'!I340="✓ Correct")</f>
        <v>0</v>
      </c>
      <c r="U188" s="32">
        <v>1</v>
      </c>
      <c r="V188" s="32">
        <v>0</v>
      </c>
      <c r="W188" s="32">
        <v>0</v>
      </c>
      <c r="X188" s="32">
        <v>0</v>
      </c>
      <c r="Y188" s="32">
        <v>0</v>
      </c>
      <c r="Z188" s="32" t="s">
        <v>744</v>
      </c>
      <c r="AA188" s="32" t="s">
        <v>692</v>
      </c>
    </row>
    <row r="189" spans="14:27">
      <c r="N189" s="32" t="s">
        <v>745</v>
      </c>
      <c r="O189" s="32">
        <v>8</v>
      </c>
      <c r="P189" s="32" t="s">
        <v>746</v>
      </c>
      <c r="Q189" s="32" t="s">
        <v>747</v>
      </c>
      <c r="R189" s="32">
        <v>1</v>
      </c>
      <c r="S189" s="32">
        <f t="shared" si="2"/>
        <v>1</v>
      </c>
      <c r="T189" s="32">
        <f>--('Ch.8 - Plusieurs fonctions'!I358="✓ Correct")</f>
        <v>0</v>
      </c>
      <c r="U189" s="32">
        <v>0</v>
      </c>
      <c r="V189" s="32">
        <v>0</v>
      </c>
      <c r="W189" s="32">
        <v>1</v>
      </c>
      <c r="X189" s="32">
        <v>0</v>
      </c>
      <c r="Y189" s="32">
        <v>0</v>
      </c>
      <c r="Z189" s="32" t="s">
        <v>748</v>
      </c>
      <c r="AA189" s="32" t="s">
        <v>692</v>
      </c>
    </row>
    <row r="190" spans="14:27">
      <c r="N190" s="32" t="s">
        <v>749</v>
      </c>
      <c r="O190" s="32">
        <v>8</v>
      </c>
      <c r="P190" s="32" t="s">
        <v>746</v>
      </c>
      <c r="Q190" s="32" t="s">
        <v>750</v>
      </c>
      <c r="R190" s="32">
        <v>1</v>
      </c>
      <c r="S190" s="32">
        <f t="shared" si="2"/>
        <v>1</v>
      </c>
      <c r="T190" s="32">
        <f>--('Ch.8 - Plusieurs fonctions'!I374="✓ Correct")</f>
        <v>0</v>
      </c>
      <c r="U190" s="32">
        <v>0</v>
      </c>
      <c r="V190" s="32">
        <v>0</v>
      </c>
      <c r="W190" s="32">
        <v>1</v>
      </c>
      <c r="X190" s="32">
        <v>0</v>
      </c>
      <c r="Y190" s="32">
        <v>0</v>
      </c>
      <c r="Z190" s="32" t="s">
        <v>751</v>
      </c>
      <c r="AA190" s="32" t="s">
        <v>692</v>
      </c>
    </row>
    <row r="191" spans="14:27">
      <c r="N191" s="32" t="s">
        <v>752</v>
      </c>
      <c r="O191" s="32">
        <v>8</v>
      </c>
      <c r="P191" s="32" t="s">
        <v>746</v>
      </c>
      <c r="Q191" s="32" t="s">
        <v>753</v>
      </c>
      <c r="R191" s="32">
        <v>1</v>
      </c>
      <c r="S191" s="32">
        <f t="shared" si="2"/>
        <v>1</v>
      </c>
      <c r="T191" s="32">
        <f>--('Ch.8 - Plusieurs fonctions'!I390="✓ Correct")</f>
        <v>0</v>
      </c>
      <c r="U191" s="32">
        <v>0</v>
      </c>
      <c r="V191" s="32">
        <v>0</v>
      </c>
      <c r="W191" s="32">
        <v>1</v>
      </c>
      <c r="X191" s="32">
        <v>0</v>
      </c>
      <c r="Y191" s="32">
        <v>0</v>
      </c>
      <c r="Z191" s="32" t="s">
        <v>754</v>
      </c>
      <c r="AA191" s="32" t="s">
        <v>692</v>
      </c>
    </row>
    <row r="192" spans="14:27">
      <c r="N192" s="32" t="s">
        <v>755</v>
      </c>
      <c r="O192" s="32">
        <v>8</v>
      </c>
      <c r="P192" s="32" t="s">
        <v>756</v>
      </c>
      <c r="Q192" s="32" t="s">
        <v>757</v>
      </c>
      <c r="R192" s="32">
        <v>1</v>
      </c>
      <c r="S192" s="32">
        <f t="shared" si="2"/>
        <v>1</v>
      </c>
      <c r="T192" s="32">
        <f>--('Ch.8 - Plusieurs fonctions'!I409="✓ Correct")</f>
        <v>0</v>
      </c>
      <c r="U192" s="32">
        <v>1</v>
      </c>
      <c r="V192" s="32">
        <v>0</v>
      </c>
      <c r="W192" s="32">
        <v>0</v>
      </c>
      <c r="X192" s="32">
        <v>0</v>
      </c>
      <c r="Y192" s="32">
        <v>0</v>
      </c>
      <c r="Z192" s="32" t="s">
        <v>758</v>
      </c>
      <c r="AA192" s="32" t="s">
        <v>692</v>
      </c>
    </row>
    <row r="193" spans="14:27">
      <c r="N193" s="32" t="s">
        <v>759</v>
      </c>
      <c r="O193" s="32">
        <v>8</v>
      </c>
      <c r="P193" s="32" t="s">
        <v>756</v>
      </c>
      <c r="Q193" s="32" t="s">
        <v>760</v>
      </c>
      <c r="R193" s="32">
        <v>1</v>
      </c>
      <c r="S193" s="32">
        <f t="shared" si="2"/>
        <v>1</v>
      </c>
      <c r="T193" s="32">
        <f>--('Ch.8 - Plusieurs fonctions'!I427="✓ Correct")</f>
        <v>0</v>
      </c>
      <c r="U193" s="32">
        <v>0</v>
      </c>
      <c r="V193" s="32">
        <v>1</v>
      </c>
      <c r="W193" s="32">
        <v>1</v>
      </c>
      <c r="X193" s="32">
        <v>0</v>
      </c>
      <c r="Y193" s="32">
        <v>0</v>
      </c>
      <c r="Z193" s="32" t="s">
        <v>761</v>
      </c>
      <c r="AA193" s="32" t="s">
        <v>692</v>
      </c>
    </row>
    <row r="194" spans="14:27">
      <c r="N194" s="32" t="s">
        <v>762</v>
      </c>
      <c r="O194" s="32">
        <v>8</v>
      </c>
      <c r="P194" s="32" t="s">
        <v>756</v>
      </c>
      <c r="Q194" s="32" t="s">
        <v>763</v>
      </c>
      <c r="R194" s="32">
        <v>1</v>
      </c>
      <c r="S194" s="32">
        <f t="shared" si="2"/>
        <v>1</v>
      </c>
      <c r="T194" s="32">
        <f>--('Ch.8 - Plusieurs fonctions'!I449="✓ Correct")</f>
        <v>0</v>
      </c>
      <c r="U194" s="32">
        <v>0</v>
      </c>
      <c r="V194" s="32">
        <v>0</v>
      </c>
      <c r="W194" s="32">
        <v>1</v>
      </c>
      <c r="X194" s="32">
        <v>0</v>
      </c>
      <c r="Y194" s="32">
        <v>0</v>
      </c>
      <c r="Z194" s="32" t="s">
        <v>764</v>
      </c>
      <c r="AA194" s="32" t="s">
        <v>692</v>
      </c>
    </row>
    <row r="195" spans="14:27">
      <c r="N195" s="32" t="s">
        <v>765</v>
      </c>
      <c r="O195" s="32">
        <v>8</v>
      </c>
      <c r="P195" s="32" t="s">
        <v>766</v>
      </c>
      <c r="Q195" s="32" t="s">
        <v>767</v>
      </c>
      <c r="R195" s="32">
        <v>1</v>
      </c>
      <c r="S195" s="32">
        <f t="shared" si="2"/>
        <v>1</v>
      </c>
      <c r="T195" s="32">
        <f>--('Ch.8 - Plusieurs fonctions'!I463="✓ Correct")</f>
        <v>0</v>
      </c>
      <c r="U195" s="32">
        <v>0</v>
      </c>
      <c r="V195" s="32">
        <v>0</v>
      </c>
      <c r="W195" s="32">
        <v>1</v>
      </c>
      <c r="X195" s="32">
        <v>0</v>
      </c>
      <c r="Y195" s="32">
        <v>0</v>
      </c>
      <c r="Z195" s="32" t="s">
        <v>768</v>
      </c>
      <c r="AA195" s="32" t="s">
        <v>692</v>
      </c>
    </row>
    <row r="196" spans="14:27">
      <c r="N196" s="32" t="s">
        <v>769</v>
      </c>
      <c r="O196" s="32">
        <v>8</v>
      </c>
      <c r="P196" s="32" t="s">
        <v>766</v>
      </c>
      <c r="Q196" s="32" t="s">
        <v>770</v>
      </c>
      <c r="R196" s="32">
        <v>1</v>
      </c>
      <c r="S196" s="32">
        <f t="shared" si="2"/>
        <v>1</v>
      </c>
      <c r="T196" s="32">
        <f>--('Ch.8 - Plusieurs fonctions'!I480="✓ Correct")</f>
        <v>0</v>
      </c>
      <c r="U196" s="32">
        <v>0</v>
      </c>
      <c r="V196" s="32">
        <v>0</v>
      </c>
      <c r="W196" s="32">
        <v>1</v>
      </c>
      <c r="X196" s="32">
        <v>0</v>
      </c>
      <c r="Y196" s="32">
        <v>0</v>
      </c>
      <c r="Z196" s="32" t="s">
        <v>771</v>
      </c>
      <c r="AA196" s="32" t="s">
        <v>692</v>
      </c>
    </row>
    <row r="197" spans="14:27">
      <c r="N197" s="32" t="s">
        <v>772</v>
      </c>
      <c r="O197" s="32">
        <v>8</v>
      </c>
      <c r="P197" s="32" t="s">
        <v>766</v>
      </c>
      <c r="Q197" s="32" t="s">
        <v>773</v>
      </c>
      <c r="R197" s="32">
        <v>1</v>
      </c>
      <c r="S197" s="32">
        <f t="shared" si="2"/>
        <v>1</v>
      </c>
      <c r="T197" s="32">
        <f>--('Ch.8 - Plusieurs fonctions'!I497="✓ Correct")</f>
        <v>0</v>
      </c>
      <c r="U197" s="32">
        <v>0</v>
      </c>
      <c r="V197" s="32">
        <v>0</v>
      </c>
      <c r="W197" s="32">
        <v>1</v>
      </c>
      <c r="X197" s="32">
        <v>0</v>
      </c>
      <c r="Y197" s="32">
        <v>0</v>
      </c>
      <c r="Z197" s="32" t="s">
        <v>774</v>
      </c>
      <c r="AA197" s="32" t="s">
        <v>692</v>
      </c>
    </row>
    <row r="198" spans="14:27">
      <c r="N198" s="32" t="s">
        <v>775</v>
      </c>
      <c r="O198" s="32">
        <v>8</v>
      </c>
      <c r="P198" s="32" t="s">
        <v>766</v>
      </c>
      <c r="Q198" s="32" t="s">
        <v>776</v>
      </c>
      <c r="R198" s="32">
        <v>1</v>
      </c>
      <c r="S198" s="32">
        <f t="shared" si="2"/>
        <v>1</v>
      </c>
      <c r="T198" s="32">
        <f>--('Ch.8 - Plusieurs fonctions'!I514="✓ Correct")</f>
        <v>0</v>
      </c>
      <c r="U198" s="32">
        <v>0</v>
      </c>
      <c r="V198" s="32">
        <v>0</v>
      </c>
      <c r="W198" s="32">
        <v>1</v>
      </c>
      <c r="X198" s="32">
        <v>0</v>
      </c>
      <c r="Y198" s="32">
        <v>0</v>
      </c>
      <c r="Z198" s="32" t="s">
        <v>777</v>
      </c>
      <c r="AA198" s="32" t="s">
        <v>692</v>
      </c>
    </row>
    <row r="199" spans="14:27">
      <c r="N199" s="32" t="s">
        <v>778</v>
      </c>
      <c r="O199" s="32">
        <v>8</v>
      </c>
      <c r="P199" s="32" t="s">
        <v>779</v>
      </c>
      <c r="Q199" s="32" t="s">
        <v>780</v>
      </c>
      <c r="R199" s="32">
        <v>1</v>
      </c>
      <c r="S199" s="32">
        <f t="shared" si="2"/>
        <v>1</v>
      </c>
      <c r="T199" s="32">
        <f>--('Ch.8 - Plusieurs fonctions'!I533="✓ Correct")</f>
        <v>0</v>
      </c>
      <c r="U199" s="32">
        <v>1</v>
      </c>
      <c r="V199" s="32">
        <v>0</v>
      </c>
      <c r="W199" s="32">
        <v>0</v>
      </c>
      <c r="X199" s="32">
        <v>0</v>
      </c>
      <c r="Y199" s="32">
        <v>0</v>
      </c>
      <c r="Z199" s="32" t="s">
        <v>781</v>
      </c>
      <c r="AA199" s="32" t="s">
        <v>692</v>
      </c>
    </row>
    <row r="200" spans="14:27">
      <c r="N200" s="32" t="s">
        <v>782</v>
      </c>
      <c r="O200" s="32">
        <v>8</v>
      </c>
      <c r="P200" s="32" t="s">
        <v>779</v>
      </c>
      <c r="Q200" s="32" t="s">
        <v>783</v>
      </c>
      <c r="R200" s="32">
        <v>1</v>
      </c>
      <c r="S200" s="32">
        <f t="shared" si="2"/>
        <v>1</v>
      </c>
      <c r="T200" s="32">
        <f>--('Ch.8 - Plusieurs fonctions'!I554="✓ Correct")</f>
        <v>0</v>
      </c>
      <c r="U200" s="32">
        <v>1</v>
      </c>
      <c r="V200" s="32">
        <v>0</v>
      </c>
      <c r="W200" s="32">
        <v>0</v>
      </c>
      <c r="X200" s="32">
        <v>0</v>
      </c>
      <c r="Y200" s="32">
        <v>0</v>
      </c>
      <c r="Z200" s="32" t="s">
        <v>784</v>
      </c>
      <c r="AA200" s="32" t="s">
        <v>692</v>
      </c>
    </row>
    <row r="201" spans="14:27">
      <c r="N201" s="32" t="s">
        <v>785</v>
      </c>
      <c r="O201" s="32">
        <v>8</v>
      </c>
      <c r="P201" s="32" t="s">
        <v>779</v>
      </c>
      <c r="Q201" s="32" t="s">
        <v>786</v>
      </c>
      <c r="R201" s="32">
        <v>1</v>
      </c>
      <c r="S201" s="32">
        <f t="shared" si="2"/>
        <v>1</v>
      </c>
      <c r="T201" s="32">
        <f>--('Ch.8 - Plusieurs fonctions'!I570="✓ Correct")</f>
        <v>0</v>
      </c>
      <c r="U201" s="32">
        <v>1</v>
      </c>
      <c r="V201" s="32">
        <v>0</v>
      </c>
      <c r="W201" s="32">
        <v>0</v>
      </c>
      <c r="X201" s="32">
        <v>0</v>
      </c>
      <c r="Y201" s="32">
        <v>0</v>
      </c>
      <c r="Z201" s="32" t="s">
        <v>787</v>
      </c>
      <c r="AA201" s="32" t="s">
        <v>692</v>
      </c>
    </row>
    <row r="202" spans="14:27">
      <c r="N202" s="32" t="s">
        <v>788</v>
      </c>
      <c r="O202" s="32">
        <v>9</v>
      </c>
      <c r="P202" s="32" t="s">
        <v>789</v>
      </c>
      <c r="Q202" s="32" t="s">
        <v>790</v>
      </c>
      <c r="R202" s="32">
        <v>1</v>
      </c>
      <c r="S202" s="32">
        <f t="shared" ref="S202:S265" si="3">IF(R202&lt;&gt;1,0,--OR(U202=1,AND($O$2&gt;=2,V202=1),AND($O$2&gt;=3,W202=1),AND($O$2&gt;=4,X202=1),AND($O$2&gt;=5,Y202=1)))</f>
        <v>1</v>
      </c>
      <c r="T202" s="32">
        <f>--('Ch.9 - Dépanner formule'!I47="✓ Correct")</f>
        <v>0</v>
      </c>
      <c r="U202" s="32">
        <v>1</v>
      </c>
      <c r="V202" s="32">
        <v>0</v>
      </c>
      <c r="W202" s="32">
        <v>0</v>
      </c>
      <c r="X202" s="32">
        <v>0</v>
      </c>
      <c r="Y202" s="32">
        <v>0</v>
      </c>
      <c r="Z202" s="32" t="s">
        <v>791</v>
      </c>
      <c r="AA202" s="32" t="s">
        <v>792</v>
      </c>
    </row>
    <row r="203" spans="14:27">
      <c r="N203" s="32" t="s">
        <v>793</v>
      </c>
      <c r="O203" s="32">
        <v>9</v>
      </c>
      <c r="P203" s="32" t="s">
        <v>789</v>
      </c>
      <c r="Q203" s="32" t="s">
        <v>794</v>
      </c>
      <c r="R203" s="32">
        <v>1</v>
      </c>
      <c r="S203" s="32">
        <f t="shared" si="3"/>
        <v>1</v>
      </c>
      <c r="T203" s="32">
        <f>--('Ch.9 - Dépanner formule'!I58="✓ Correct")</f>
        <v>0</v>
      </c>
      <c r="U203" s="32">
        <v>1</v>
      </c>
      <c r="V203" s="32">
        <v>0</v>
      </c>
      <c r="W203" s="32">
        <v>0</v>
      </c>
      <c r="X203" s="32">
        <v>0</v>
      </c>
      <c r="Y203" s="32">
        <v>0</v>
      </c>
      <c r="Z203" s="32" t="s">
        <v>795</v>
      </c>
      <c r="AA203" s="32" t="s">
        <v>792</v>
      </c>
    </row>
    <row r="204" spans="14:27">
      <c r="N204" s="32" t="s">
        <v>796</v>
      </c>
      <c r="O204" s="32">
        <v>9</v>
      </c>
      <c r="P204" s="32" t="s">
        <v>797</v>
      </c>
      <c r="Q204" s="32" t="s">
        <v>798</v>
      </c>
      <c r="R204" s="32">
        <v>1</v>
      </c>
      <c r="S204" s="32">
        <f t="shared" si="3"/>
        <v>1</v>
      </c>
      <c r="T204" s="32">
        <f>--('Ch.9 - Dépanner formule'!I77="✓ Correct")</f>
        <v>0</v>
      </c>
      <c r="U204" s="32">
        <v>1</v>
      </c>
      <c r="V204" s="32">
        <v>0</v>
      </c>
      <c r="W204" s="32">
        <v>0</v>
      </c>
      <c r="X204" s="32">
        <v>0</v>
      </c>
      <c r="Y204" s="32">
        <v>0</v>
      </c>
      <c r="Z204" s="32" t="s">
        <v>799</v>
      </c>
      <c r="AA204" s="32" t="s">
        <v>792</v>
      </c>
    </row>
    <row r="205" spans="14:27">
      <c r="N205" s="32" t="s">
        <v>800</v>
      </c>
      <c r="O205" s="32">
        <v>9</v>
      </c>
      <c r="P205" s="32" t="s">
        <v>797</v>
      </c>
      <c r="Q205" s="32" t="s">
        <v>801</v>
      </c>
      <c r="R205" s="32">
        <v>1</v>
      </c>
      <c r="S205" s="32">
        <f t="shared" si="3"/>
        <v>1</v>
      </c>
      <c r="T205" s="32">
        <f>--('Ch.9 - Dépanner formule'!I90="✓ Correct")</f>
        <v>0</v>
      </c>
      <c r="U205" s="32">
        <v>1</v>
      </c>
      <c r="V205" s="32">
        <v>0</v>
      </c>
      <c r="W205" s="32">
        <v>0</v>
      </c>
      <c r="X205" s="32">
        <v>0</v>
      </c>
      <c r="Y205" s="32">
        <v>0</v>
      </c>
      <c r="Z205" s="32" t="s">
        <v>802</v>
      </c>
      <c r="AA205" s="32" t="s">
        <v>792</v>
      </c>
    </row>
    <row r="206" spans="14:27">
      <c r="N206" s="32" t="s">
        <v>803</v>
      </c>
      <c r="O206" s="32">
        <v>9</v>
      </c>
      <c r="P206" s="32" t="s">
        <v>797</v>
      </c>
      <c r="Q206" s="32" t="s">
        <v>804</v>
      </c>
      <c r="R206" s="32">
        <v>1</v>
      </c>
      <c r="S206" s="32">
        <f t="shared" si="3"/>
        <v>1</v>
      </c>
      <c r="T206" s="32">
        <f>--('Ch.9 - Dépanner formule'!I103="✓ Correct")</f>
        <v>0</v>
      </c>
      <c r="U206" s="32">
        <v>1</v>
      </c>
      <c r="V206" s="32">
        <v>0</v>
      </c>
      <c r="W206" s="32">
        <v>0</v>
      </c>
      <c r="X206" s="32">
        <v>0</v>
      </c>
      <c r="Y206" s="32">
        <v>0</v>
      </c>
      <c r="Z206" s="32" t="s">
        <v>805</v>
      </c>
      <c r="AA206" s="32" t="s">
        <v>792</v>
      </c>
    </row>
    <row r="207" spans="14:27">
      <c r="N207" s="32" t="s">
        <v>806</v>
      </c>
      <c r="O207" s="32">
        <v>9</v>
      </c>
      <c r="P207" s="32" t="s">
        <v>807</v>
      </c>
      <c r="Q207" s="32" t="s">
        <v>808</v>
      </c>
      <c r="R207" s="32">
        <v>1</v>
      </c>
      <c r="S207" s="32">
        <f t="shared" si="3"/>
        <v>1</v>
      </c>
      <c r="T207" s="32">
        <f>--('Ch.9 - Dépanner formule'!I121="✓ Correct")</f>
        <v>0</v>
      </c>
      <c r="U207" s="32">
        <v>1</v>
      </c>
      <c r="V207" s="32">
        <v>0</v>
      </c>
      <c r="W207" s="32">
        <v>0</v>
      </c>
      <c r="X207" s="32">
        <v>0</v>
      </c>
      <c r="Y207" s="32">
        <v>0</v>
      </c>
      <c r="Z207" s="32" t="s">
        <v>809</v>
      </c>
      <c r="AA207" s="32" t="s">
        <v>792</v>
      </c>
    </row>
    <row r="208" spans="14:27">
      <c r="N208" s="32" t="s">
        <v>810</v>
      </c>
      <c r="O208" s="32">
        <v>9</v>
      </c>
      <c r="P208" s="32" t="s">
        <v>807</v>
      </c>
      <c r="Q208" s="32" t="s">
        <v>811</v>
      </c>
      <c r="R208" s="32">
        <v>1</v>
      </c>
      <c r="S208" s="32">
        <f t="shared" si="3"/>
        <v>1</v>
      </c>
      <c r="T208" s="32">
        <f>--('Ch.9 - Dépanner formule'!I135="✓ Correct")</f>
        <v>0</v>
      </c>
      <c r="U208" s="32">
        <v>1</v>
      </c>
      <c r="V208" s="32">
        <v>0</v>
      </c>
      <c r="W208" s="32">
        <v>0</v>
      </c>
      <c r="X208" s="32">
        <v>0</v>
      </c>
      <c r="Y208" s="32">
        <v>0</v>
      </c>
      <c r="Z208" s="32" t="s">
        <v>812</v>
      </c>
      <c r="AA208" s="32" t="s">
        <v>792</v>
      </c>
    </row>
    <row r="209" spans="14:27">
      <c r="N209" s="32" t="s">
        <v>813</v>
      </c>
      <c r="O209" s="32">
        <v>9</v>
      </c>
      <c r="P209" s="32" t="s">
        <v>814</v>
      </c>
      <c r="Q209" s="32" t="s">
        <v>815</v>
      </c>
      <c r="R209" s="32">
        <v>1</v>
      </c>
      <c r="S209" s="32">
        <f t="shared" si="3"/>
        <v>1</v>
      </c>
      <c r="T209" s="32">
        <f>--('Ch.9 - Dépanner formule'!I151="✓ Correct")</f>
        <v>0</v>
      </c>
      <c r="U209" s="32">
        <v>1</v>
      </c>
      <c r="V209" s="32">
        <v>0</v>
      </c>
      <c r="W209" s="32">
        <v>0</v>
      </c>
      <c r="X209" s="32">
        <v>0</v>
      </c>
      <c r="Y209" s="32">
        <v>0</v>
      </c>
      <c r="Z209" s="32" t="s">
        <v>816</v>
      </c>
      <c r="AA209" s="32" t="s">
        <v>792</v>
      </c>
    </row>
    <row r="210" spans="14:27">
      <c r="N210" s="32" t="s">
        <v>817</v>
      </c>
      <c r="O210" s="32">
        <v>9</v>
      </c>
      <c r="P210" s="32" t="s">
        <v>814</v>
      </c>
      <c r="Q210" s="32" t="s">
        <v>818</v>
      </c>
      <c r="R210" s="32">
        <v>1</v>
      </c>
      <c r="S210" s="32">
        <f t="shared" si="3"/>
        <v>1</v>
      </c>
      <c r="T210" s="32">
        <f>--('Ch.9 - Dépanner formule'!I164="✓ Correct")</f>
        <v>0</v>
      </c>
      <c r="U210" s="32">
        <v>0</v>
      </c>
      <c r="V210" s="32">
        <v>0</v>
      </c>
      <c r="W210" s="32">
        <v>1</v>
      </c>
      <c r="X210" s="32">
        <v>0</v>
      </c>
      <c r="Y210" s="32">
        <v>0</v>
      </c>
      <c r="Z210" s="32" t="s">
        <v>819</v>
      </c>
      <c r="AA210" s="32" t="s">
        <v>792</v>
      </c>
    </row>
    <row r="211" spans="14:27">
      <c r="N211" s="32" t="s">
        <v>820</v>
      </c>
      <c r="O211" s="32">
        <v>9</v>
      </c>
      <c r="P211" s="32" t="s">
        <v>821</v>
      </c>
      <c r="Q211" s="32" t="s">
        <v>822</v>
      </c>
      <c r="R211" s="32">
        <v>1</v>
      </c>
      <c r="S211" s="32">
        <f t="shared" si="3"/>
        <v>1</v>
      </c>
      <c r="T211" s="32">
        <f>--('Ch.9 - Dépanner formule'!I177="✓ Correct")</f>
        <v>0</v>
      </c>
      <c r="U211" s="32">
        <v>1</v>
      </c>
      <c r="V211" s="32">
        <v>0</v>
      </c>
      <c r="W211" s="32">
        <v>0</v>
      </c>
      <c r="X211" s="32">
        <v>0</v>
      </c>
      <c r="Y211" s="32">
        <v>0</v>
      </c>
      <c r="Z211" s="32" t="s">
        <v>823</v>
      </c>
      <c r="AA211" s="32" t="s">
        <v>792</v>
      </c>
    </row>
    <row r="212" spans="14:27">
      <c r="N212" s="32" t="s">
        <v>824</v>
      </c>
      <c r="O212" s="32">
        <v>9</v>
      </c>
      <c r="P212" s="32" t="s">
        <v>821</v>
      </c>
      <c r="Q212" s="32" t="s">
        <v>825</v>
      </c>
      <c r="R212" s="32">
        <v>1</v>
      </c>
      <c r="S212" s="32">
        <f t="shared" si="3"/>
        <v>1</v>
      </c>
      <c r="T212" s="32">
        <f>--('Ch.9 - Dépanner formule'!I188="✓ Correct")</f>
        <v>0</v>
      </c>
      <c r="U212" s="32">
        <v>1</v>
      </c>
      <c r="V212" s="32">
        <v>0</v>
      </c>
      <c r="W212" s="32">
        <v>0</v>
      </c>
      <c r="X212" s="32">
        <v>0</v>
      </c>
      <c r="Y212" s="32">
        <v>0</v>
      </c>
      <c r="Z212" s="32" t="s">
        <v>826</v>
      </c>
      <c r="AA212" s="32" t="s">
        <v>792</v>
      </c>
    </row>
    <row r="213" spans="14:27">
      <c r="N213" s="32" t="s">
        <v>827</v>
      </c>
      <c r="O213" s="32">
        <v>9</v>
      </c>
      <c r="P213" s="32" t="s">
        <v>828</v>
      </c>
      <c r="Q213" s="32" t="s">
        <v>829</v>
      </c>
      <c r="R213" s="32">
        <v>1</v>
      </c>
      <c r="S213" s="32">
        <f t="shared" si="3"/>
        <v>1</v>
      </c>
      <c r="T213" s="32">
        <f>--('Ch.9 - Dépanner formule'!I203="✓ Correct")</f>
        <v>0</v>
      </c>
      <c r="U213" s="32">
        <v>1</v>
      </c>
      <c r="V213" s="32">
        <v>0</v>
      </c>
      <c r="W213" s="32">
        <v>0</v>
      </c>
      <c r="X213" s="32">
        <v>0</v>
      </c>
      <c r="Y213" s="32">
        <v>0</v>
      </c>
      <c r="Z213" s="32" t="s">
        <v>830</v>
      </c>
      <c r="AA213" s="32" t="s">
        <v>792</v>
      </c>
    </row>
    <row r="214" spans="14:27">
      <c r="N214" s="32" t="s">
        <v>831</v>
      </c>
      <c r="O214" s="32">
        <v>9</v>
      </c>
      <c r="P214" s="32" t="s">
        <v>832</v>
      </c>
      <c r="Q214" s="32" t="s">
        <v>833</v>
      </c>
      <c r="R214" s="32">
        <v>1</v>
      </c>
      <c r="S214" s="32">
        <f t="shared" si="3"/>
        <v>1</v>
      </c>
      <c r="T214" s="32">
        <f>--('Ch.9 - Dépanner formule'!I216="✓ Correct")</f>
        <v>0</v>
      </c>
      <c r="U214" s="32">
        <v>1</v>
      </c>
      <c r="V214" s="32">
        <v>0</v>
      </c>
      <c r="W214" s="32">
        <v>0</v>
      </c>
      <c r="X214" s="32">
        <v>0</v>
      </c>
      <c r="Y214" s="32">
        <v>0</v>
      </c>
      <c r="Z214" s="32" t="s">
        <v>834</v>
      </c>
      <c r="AA214" s="32" t="s">
        <v>792</v>
      </c>
    </row>
    <row r="215" spans="14:27">
      <c r="N215" s="32" t="s">
        <v>835</v>
      </c>
      <c r="O215" s="32">
        <v>9</v>
      </c>
      <c r="P215" s="32" t="s">
        <v>836</v>
      </c>
      <c r="Q215" s="32" t="s">
        <v>837</v>
      </c>
      <c r="R215" s="32">
        <v>1</v>
      </c>
      <c r="S215" s="32">
        <f t="shared" si="3"/>
        <v>1</v>
      </c>
      <c r="T215" s="32">
        <f>--('Ch.9 - Dépanner formule'!I230="✓ Correct")</f>
        <v>0</v>
      </c>
      <c r="U215" s="32">
        <v>0</v>
      </c>
      <c r="V215" s="32">
        <v>0</v>
      </c>
      <c r="W215" s="32">
        <v>1</v>
      </c>
      <c r="X215" s="32">
        <v>0</v>
      </c>
      <c r="Y215" s="32">
        <v>0</v>
      </c>
      <c r="Z215" s="32" t="s">
        <v>838</v>
      </c>
      <c r="AA215" s="32" t="s">
        <v>792</v>
      </c>
    </row>
    <row r="216" spans="14:27">
      <c r="N216" s="32" t="s">
        <v>839</v>
      </c>
      <c r="O216" s="32">
        <v>9</v>
      </c>
      <c r="P216" s="32" t="s">
        <v>836</v>
      </c>
      <c r="Q216" s="32" t="s">
        <v>840</v>
      </c>
      <c r="R216" s="32">
        <v>1</v>
      </c>
      <c r="S216" s="32">
        <f t="shared" si="3"/>
        <v>1</v>
      </c>
      <c r="T216" s="32">
        <f>--('Ch.9 - Dépanner formule'!I242="✓ Correct")</f>
        <v>0</v>
      </c>
      <c r="U216" s="32">
        <v>0</v>
      </c>
      <c r="V216" s="32">
        <v>0</v>
      </c>
      <c r="W216" s="32">
        <v>1</v>
      </c>
      <c r="X216" s="32">
        <v>0</v>
      </c>
      <c r="Y216" s="32">
        <v>0</v>
      </c>
      <c r="Z216" s="32" t="s">
        <v>841</v>
      </c>
      <c r="AA216" s="32" t="s">
        <v>792</v>
      </c>
    </row>
    <row r="217" spans="14:27">
      <c r="N217" s="32" t="s">
        <v>842</v>
      </c>
      <c r="O217" s="32">
        <v>9</v>
      </c>
      <c r="P217" s="32" t="s">
        <v>836</v>
      </c>
      <c r="Q217" s="32" t="s">
        <v>843</v>
      </c>
      <c r="R217" s="32">
        <v>1</v>
      </c>
      <c r="S217" s="32">
        <f t="shared" si="3"/>
        <v>1</v>
      </c>
      <c r="T217" s="32">
        <f>--('Ch.9 - Dépanner formule'!I258="✓ Correct")</f>
        <v>0</v>
      </c>
      <c r="U217" s="32">
        <v>0</v>
      </c>
      <c r="V217" s="32">
        <v>0</v>
      </c>
      <c r="W217" s="32">
        <v>1</v>
      </c>
      <c r="X217" s="32">
        <v>0</v>
      </c>
      <c r="Y217" s="32">
        <v>0</v>
      </c>
      <c r="Z217" s="32" t="s">
        <v>844</v>
      </c>
      <c r="AA217" s="32" t="s">
        <v>792</v>
      </c>
    </row>
    <row r="218" spans="14:27">
      <c r="N218" s="32" t="s">
        <v>845</v>
      </c>
      <c r="O218" s="32">
        <v>9</v>
      </c>
      <c r="P218" s="32" t="s">
        <v>846</v>
      </c>
      <c r="Q218" s="32" t="s">
        <v>847</v>
      </c>
      <c r="R218" s="32">
        <v>1</v>
      </c>
      <c r="S218" s="32">
        <f t="shared" si="3"/>
        <v>1</v>
      </c>
      <c r="T218" s="32">
        <f>--('Ch.9 - Dépanner formule'!I269="✓ Correct")</f>
        <v>0</v>
      </c>
      <c r="U218" s="32">
        <v>1</v>
      </c>
      <c r="V218" s="32">
        <v>0</v>
      </c>
      <c r="W218" s="32">
        <v>0</v>
      </c>
      <c r="X218" s="32">
        <v>0</v>
      </c>
      <c r="Y218" s="32">
        <v>0</v>
      </c>
      <c r="Z218" s="32" t="s">
        <v>848</v>
      </c>
      <c r="AA218" s="32" t="s">
        <v>792</v>
      </c>
    </row>
    <row r="219" spans="14:27">
      <c r="N219" s="32" t="s">
        <v>849</v>
      </c>
      <c r="O219" s="32">
        <v>9</v>
      </c>
      <c r="P219" s="32" t="s">
        <v>850</v>
      </c>
      <c r="Q219" s="32" t="s">
        <v>851</v>
      </c>
      <c r="R219" s="32">
        <v>1</v>
      </c>
      <c r="S219" s="32">
        <f t="shared" si="3"/>
        <v>1</v>
      </c>
      <c r="T219" s="32">
        <f>--('Ch.9 - Dépanner formule'!I282="✓ Correct")</f>
        <v>0</v>
      </c>
      <c r="U219" s="32">
        <v>1</v>
      </c>
      <c r="V219" s="32">
        <v>0</v>
      </c>
      <c r="W219" s="32">
        <v>0</v>
      </c>
      <c r="X219" s="32">
        <v>0</v>
      </c>
      <c r="Y219" s="32">
        <v>0</v>
      </c>
      <c r="Z219" s="32" t="s">
        <v>852</v>
      </c>
      <c r="AA219" s="32" t="s">
        <v>792</v>
      </c>
    </row>
    <row r="220" spans="14:27">
      <c r="N220" s="32" t="s">
        <v>853</v>
      </c>
      <c r="O220" s="32">
        <v>9</v>
      </c>
      <c r="P220" s="32" t="s">
        <v>854</v>
      </c>
      <c r="Q220" s="32" t="s">
        <v>855</v>
      </c>
      <c r="R220" s="32">
        <v>1</v>
      </c>
      <c r="S220" s="32">
        <f t="shared" si="3"/>
        <v>1</v>
      </c>
      <c r="T220" s="32">
        <f>--('Ch.9 - Dépanner formule'!I299="✓ Correct")</f>
        <v>0</v>
      </c>
      <c r="U220" s="32">
        <v>1</v>
      </c>
      <c r="V220" s="32">
        <v>0</v>
      </c>
      <c r="W220" s="32">
        <v>0</v>
      </c>
      <c r="X220" s="32">
        <v>0</v>
      </c>
      <c r="Y220" s="32">
        <v>0</v>
      </c>
      <c r="Z220" s="32" t="s">
        <v>856</v>
      </c>
      <c r="AA220" s="32" t="s">
        <v>792</v>
      </c>
    </row>
    <row r="221" spans="14:27">
      <c r="N221" s="32" t="s">
        <v>857</v>
      </c>
      <c r="O221" s="32">
        <v>9</v>
      </c>
      <c r="P221" s="32" t="s">
        <v>858</v>
      </c>
      <c r="Q221" s="32" t="s">
        <v>859</v>
      </c>
      <c r="R221" s="32">
        <v>1</v>
      </c>
      <c r="S221" s="32">
        <f t="shared" si="3"/>
        <v>1</v>
      </c>
      <c r="T221" s="32">
        <f>--('Ch.9 - Dépanner formule'!I312="✓ Correct")</f>
        <v>0</v>
      </c>
      <c r="U221" s="32">
        <v>1</v>
      </c>
      <c r="V221" s="32">
        <v>0</v>
      </c>
      <c r="W221" s="32">
        <v>0</v>
      </c>
      <c r="X221" s="32">
        <v>0</v>
      </c>
      <c r="Y221" s="32">
        <v>0</v>
      </c>
      <c r="Z221" s="32" t="s">
        <v>860</v>
      </c>
      <c r="AA221" s="32" t="s">
        <v>792</v>
      </c>
    </row>
    <row r="222" spans="14:27">
      <c r="N222" s="32" t="s">
        <v>861</v>
      </c>
      <c r="O222" s="32">
        <v>9</v>
      </c>
      <c r="P222" s="32" t="s">
        <v>862</v>
      </c>
      <c r="Q222" s="32" t="s">
        <v>863</v>
      </c>
      <c r="R222" s="32">
        <v>1</v>
      </c>
      <c r="S222" s="32">
        <f t="shared" si="3"/>
        <v>1</v>
      </c>
      <c r="T222" s="32">
        <f>--('Ch.9 - Dépanner formule'!I326="✓ Correct")</f>
        <v>0</v>
      </c>
      <c r="U222" s="32">
        <v>1</v>
      </c>
      <c r="V222" s="32">
        <v>0</v>
      </c>
      <c r="W222" s="32">
        <v>0</v>
      </c>
      <c r="X222" s="32">
        <v>0</v>
      </c>
      <c r="Y222" s="32">
        <v>0</v>
      </c>
      <c r="Z222" s="32" t="s">
        <v>864</v>
      </c>
      <c r="AA222" s="32" t="s">
        <v>792</v>
      </c>
    </row>
    <row r="223" spans="14:27">
      <c r="N223" s="32" t="s">
        <v>865</v>
      </c>
      <c r="O223" s="32">
        <v>9</v>
      </c>
      <c r="P223" s="32" t="s">
        <v>866</v>
      </c>
      <c r="Q223" s="32" t="s">
        <v>867</v>
      </c>
      <c r="R223" s="32">
        <v>1</v>
      </c>
      <c r="S223" s="32">
        <f t="shared" si="3"/>
        <v>1</v>
      </c>
      <c r="T223" s="32">
        <f>--('Ch.9 - Dépanner formule'!I341="✓ Correct")</f>
        <v>0</v>
      </c>
      <c r="U223" s="32">
        <v>1</v>
      </c>
      <c r="V223" s="32">
        <v>0</v>
      </c>
      <c r="W223" s="32">
        <v>0</v>
      </c>
      <c r="X223" s="32">
        <v>0</v>
      </c>
      <c r="Y223" s="32">
        <v>0</v>
      </c>
      <c r="Z223" s="32" t="s">
        <v>868</v>
      </c>
      <c r="AA223" s="32" t="s">
        <v>792</v>
      </c>
    </row>
    <row r="224" spans="14:27">
      <c r="N224" s="32" t="s">
        <v>869</v>
      </c>
      <c r="O224" s="32">
        <v>9</v>
      </c>
      <c r="P224" s="32" t="s">
        <v>870</v>
      </c>
      <c r="Q224" s="32" t="s">
        <v>871</v>
      </c>
      <c r="R224" s="32">
        <v>1</v>
      </c>
      <c r="S224" s="32">
        <f t="shared" si="3"/>
        <v>1</v>
      </c>
      <c r="T224" s="32">
        <f>--('Ch.9 - Dépanner formule'!I356="✓ Correct")</f>
        <v>0</v>
      </c>
      <c r="U224" s="32">
        <v>1</v>
      </c>
      <c r="V224" s="32">
        <v>0</v>
      </c>
      <c r="W224" s="32">
        <v>0</v>
      </c>
      <c r="X224" s="32">
        <v>0</v>
      </c>
      <c r="Y224" s="32">
        <v>0</v>
      </c>
      <c r="Z224" s="32" t="s">
        <v>872</v>
      </c>
      <c r="AA224" s="32" t="s">
        <v>792</v>
      </c>
    </row>
    <row r="225" spans="14:27">
      <c r="N225" s="32" t="s">
        <v>873</v>
      </c>
      <c r="O225" s="32">
        <v>9</v>
      </c>
      <c r="P225" s="32" t="s">
        <v>874</v>
      </c>
      <c r="Q225" s="32" t="s">
        <v>875</v>
      </c>
      <c r="R225" s="32">
        <v>1</v>
      </c>
      <c r="S225" s="32">
        <f t="shared" si="3"/>
        <v>1</v>
      </c>
      <c r="T225" s="32">
        <f>--('Ch.9 - Dépanner formule'!I367="✓ Correct")</f>
        <v>0</v>
      </c>
      <c r="U225" s="32">
        <v>1</v>
      </c>
      <c r="V225" s="32">
        <v>0</v>
      </c>
      <c r="W225" s="32">
        <v>0</v>
      </c>
      <c r="X225" s="32">
        <v>0</v>
      </c>
      <c r="Y225" s="32">
        <v>0</v>
      </c>
      <c r="Z225" s="32" t="s">
        <v>876</v>
      </c>
      <c r="AA225" s="32" t="s">
        <v>792</v>
      </c>
    </row>
    <row r="226" spans="14:27">
      <c r="N226" s="32" t="s">
        <v>877</v>
      </c>
      <c r="O226" s="32">
        <v>9</v>
      </c>
      <c r="P226" s="32" t="s">
        <v>878</v>
      </c>
      <c r="Q226" s="32" t="s">
        <v>879</v>
      </c>
      <c r="R226" s="32">
        <v>1</v>
      </c>
      <c r="S226" s="32">
        <f t="shared" si="3"/>
        <v>1</v>
      </c>
      <c r="T226" s="32">
        <f>--('Ch.9 - Dépanner formule'!I387="✓ Correct")</f>
        <v>0</v>
      </c>
      <c r="U226" s="32">
        <v>1</v>
      </c>
      <c r="V226" s="32">
        <v>0</v>
      </c>
      <c r="W226" s="32">
        <v>0</v>
      </c>
      <c r="X226" s="32">
        <v>0</v>
      </c>
      <c r="Y226" s="32">
        <v>0</v>
      </c>
      <c r="Z226" s="32" t="s">
        <v>880</v>
      </c>
      <c r="AA226" s="32" t="s">
        <v>792</v>
      </c>
    </row>
    <row r="227" spans="14:27">
      <c r="N227" s="32" t="s">
        <v>881</v>
      </c>
      <c r="O227" s="32">
        <v>9</v>
      </c>
      <c r="P227" s="32" t="s">
        <v>878</v>
      </c>
      <c r="Q227" s="32" t="s">
        <v>882</v>
      </c>
      <c r="R227" s="32">
        <v>1</v>
      </c>
      <c r="S227" s="32">
        <f t="shared" si="3"/>
        <v>1</v>
      </c>
      <c r="T227" s="32">
        <f>--('Ch.9 - Dépanner formule'!I401="✓ Correct")</f>
        <v>0</v>
      </c>
      <c r="U227" s="32">
        <v>1</v>
      </c>
      <c r="V227" s="32">
        <v>0</v>
      </c>
      <c r="W227" s="32">
        <v>0</v>
      </c>
      <c r="X227" s="32">
        <v>0</v>
      </c>
      <c r="Y227" s="32">
        <v>0</v>
      </c>
      <c r="Z227" s="32" t="s">
        <v>883</v>
      </c>
      <c r="AA227" s="32" t="s">
        <v>792</v>
      </c>
    </row>
    <row r="228" spans="14:27">
      <c r="N228" s="32" t="s">
        <v>884</v>
      </c>
      <c r="O228" s="32">
        <v>9</v>
      </c>
      <c r="P228" s="32" t="s">
        <v>878</v>
      </c>
      <c r="Q228" s="32" t="s">
        <v>885</v>
      </c>
      <c r="R228" s="32">
        <v>1</v>
      </c>
      <c r="S228" s="32">
        <f t="shared" si="3"/>
        <v>1</v>
      </c>
      <c r="T228" s="32">
        <f>--('Ch.9 - Dépanner formule'!I416="✓ Correct")</f>
        <v>0</v>
      </c>
      <c r="U228" s="32">
        <v>1</v>
      </c>
      <c r="V228" s="32">
        <v>0</v>
      </c>
      <c r="W228" s="32">
        <v>0</v>
      </c>
      <c r="X228" s="32">
        <v>0</v>
      </c>
      <c r="Y228" s="32">
        <v>0</v>
      </c>
      <c r="Z228" s="32" t="s">
        <v>886</v>
      </c>
      <c r="AA228" s="32" t="s">
        <v>792</v>
      </c>
    </row>
    <row r="229" spans="14:27">
      <c r="N229" s="32" t="s">
        <v>887</v>
      </c>
      <c r="O229" s="32">
        <v>9</v>
      </c>
      <c r="P229" s="32" t="s">
        <v>888</v>
      </c>
      <c r="Q229" s="32" t="s">
        <v>889</v>
      </c>
      <c r="R229" s="32">
        <v>1</v>
      </c>
      <c r="S229" s="32">
        <f t="shared" si="3"/>
        <v>1</v>
      </c>
      <c r="T229" s="32">
        <f>--('Ch.9 - Dépanner formule'!I432="✓ Correct")</f>
        <v>0</v>
      </c>
      <c r="U229" s="32">
        <v>1</v>
      </c>
      <c r="V229" s="32">
        <v>0</v>
      </c>
      <c r="W229" s="32">
        <v>0</v>
      </c>
      <c r="X229" s="32">
        <v>0</v>
      </c>
      <c r="Y229" s="32">
        <v>0</v>
      </c>
      <c r="Z229" s="32" t="s">
        <v>890</v>
      </c>
      <c r="AA229" s="32" t="s">
        <v>792</v>
      </c>
    </row>
    <row r="230" spans="14:27">
      <c r="N230" s="32" t="s">
        <v>891</v>
      </c>
      <c r="O230" s="32">
        <v>9</v>
      </c>
      <c r="P230" s="32" t="s">
        <v>888</v>
      </c>
      <c r="Q230" s="32" t="s">
        <v>892</v>
      </c>
      <c r="R230" s="32">
        <v>1</v>
      </c>
      <c r="S230" s="32">
        <f t="shared" si="3"/>
        <v>1</v>
      </c>
      <c r="T230" s="32">
        <f>--('Ch.9 - Dépanner formule'!I443="✓ Correct")</f>
        <v>0</v>
      </c>
      <c r="U230" s="32">
        <v>1</v>
      </c>
      <c r="V230" s="32">
        <v>0</v>
      </c>
      <c r="W230" s="32">
        <v>0</v>
      </c>
      <c r="X230" s="32">
        <v>0</v>
      </c>
      <c r="Y230" s="32">
        <v>0</v>
      </c>
      <c r="Z230" s="32" t="s">
        <v>893</v>
      </c>
      <c r="AA230" s="32" t="s">
        <v>792</v>
      </c>
    </row>
    <row r="231" spans="14:27">
      <c r="N231" s="32" t="s">
        <v>894</v>
      </c>
      <c r="O231" s="32">
        <v>9</v>
      </c>
      <c r="P231" s="32" t="s">
        <v>888</v>
      </c>
      <c r="Q231" s="32" t="s">
        <v>895</v>
      </c>
      <c r="R231" s="32">
        <v>1</v>
      </c>
      <c r="S231" s="32">
        <f t="shared" si="3"/>
        <v>1</v>
      </c>
      <c r="T231" s="32">
        <f>--('Ch.9 - Dépanner formule'!I454="✓ Correct")</f>
        <v>0</v>
      </c>
      <c r="U231" s="32">
        <v>1</v>
      </c>
      <c r="V231" s="32">
        <v>0</v>
      </c>
      <c r="W231" s="32">
        <v>0</v>
      </c>
      <c r="X231" s="32">
        <v>0</v>
      </c>
      <c r="Y231" s="32">
        <v>0</v>
      </c>
      <c r="Z231" s="32" t="s">
        <v>896</v>
      </c>
      <c r="AA231" s="32" t="s">
        <v>792</v>
      </c>
    </row>
    <row r="232" spans="14:27">
      <c r="N232" s="32" t="s">
        <v>2019</v>
      </c>
      <c r="O232" s="32">
        <v>10</v>
      </c>
      <c r="P232" s="32" t="s">
        <v>2020</v>
      </c>
      <c r="Q232" s="32" t="s">
        <v>2021</v>
      </c>
      <c r="R232" s="32">
        <v>1</v>
      </c>
      <c r="S232" s="32">
        <f t="shared" si="3"/>
        <v>1</v>
      </c>
      <c r="T232" s="32">
        <f>--('Ch.10 - Devenir autonome'!I32="✓ Correct")</f>
        <v>0</v>
      </c>
      <c r="U232" s="32">
        <v>1</v>
      </c>
      <c r="V232" s="32">
        <v>0</v>
      </c>
      <c r="W232" s="32">
        <v>0</v>
      </c>
      <c r="X232" s="32">
        <v>0</v>
      </c>
      <c r="Y232" s="32">
        <v>0</v>
      </c>
      <c r="Z232" s="32" t="s">
        <v>2022</v>
      </c>
      <c r="AA232" s="32" t="s">
        <v>2023</v>
      </c>
    </row>
    <row r="233" spans="14:27">
      <c r="N233" s="32" t="s">
        <v>2024</v>
      </c>
      <c r="O233" s="32">
        <v>10</v>
      </c>
      <c r="P233" s="32" t="s">
        <v>2020</v>
      </c>
      <c r="Q233" s="32" t="s">
        <v>2025</v>
      </c>
      <c r="R233" s="32">
        <v>1</v>
      </c>
      <c r="S233" s="32">
        <f t="shared" si="3"/>
        <v>1</v>
      </c>
      <c r="T233" s="32">
        <f>--('Ch.10 - Devenir autonome'!I45="✓ Correct")</f>
        <v>0</v>
      </c>
      <c r="U233" s="32">
        <v>1</v>
      </c>
      <c r="V233" s="32">
        <v>0</v>
      </c>
      <c r="W233" s="32">
        <v>0</v>
      </c>
      <c r="X233" s="32">
        <v>0</v>
      </c>
      <c r="Y233" s="32">
        <v>0</v>
      </c>
      <c r="Z233" s="32" t="s">
        <v>2026</v>
      </c>
      <c r="AA233" s="32" t="s">
        <v>2023</v>
      </c>
    </row>
    <row r="234" spans="14:27">
      <c r="N234" s="32" t="s">
        <v>2027</v>
      </c>
      <c r="O234" s="32">
        <v>10</v>
      </c>
      <c r="P234" s="32" t="s">
        <v>2028</v>
      </c>
      <c r="Q234" s="32" t="s">
        <v>2029</v>
      </c>
      <c r="R234" s="32">
        <v>1</v>
      </c>
      <c r="S234" s="32">
        <f t="shared" si="3"/>
        <v>1</v>
      </c>
      <c r="T234" s="32">
        <f>--('Ch.10 - Devenir autonome'!I61="✓ Correct")</f>
        <v>0</v>
      </c>
      <c r="U234" s="32">
        <v>1</v>
      </c>
      <c r="V234" s="32">
        <v>0</v>
      </c>
      <c r="W234" s="32">
        <v>0</v>
      </c>
      <c r="X234" s="32">
        <v>0</v>
      </c>
      <c r="Y234" s="32">
        <v>0</v>
      </c>
      <c r="Z234" s="32" t="s">
        <v>2030</v>
      </c>
      <c r="AA234" s="32" t="s">
        <v>2023</v>
      </c>
    </row>
    <row r="235" spans="14:27">
      <c r="N235" s="32" t="s">
        <v>2031</v>
      </c>
      <c r="O235" s="32">
        <v>10</v>
      </c>
      <c r="P235" s="32" t="s">
        <v>2028</v>
      </c>
      <c r="Q235" s="32" t="s">
        <v>2032</v>
      </c>
      <c r="R235" s="32">
        <v>1</v>
      </c>
      <c r="S235" s="32">
        <f t="shared" si="3"/>
        <v>1</v>
      </c>
      <c r="T235" s="32">
        <f>--('Ch.10 - Devenir autonome'!I75="✓ Correct")</f>
        <v>0</v>
      </c>
      <c r="U235" s="32">
        <v>1</v>
      </c>
      <c r="V235" s="32">
        <v>0</v>
      </c>
      <c r="W235" s="32">
        <v>0</v>
      </c>
      <c r="X235" s="32">
        <v>0</v>
      </c>
      <c r="Y235" s="32">
        <v>0</v>
      </c>
      <c r="Z235" s="32" t="s">
        <v>2033</v>
      </c>
      <c r="AA235" s="32" t="s">
        <v>2023</v>
      </c>
    </row>
    <row r="236" spans="14:27">
      <c r="N236" s="32" t="s">
        <v>2034</v>
      </c>
      <c r="O236" s="32">
        <v>10</v>
      </c>
      <c r="P236" s="32" t="s">
        <v>2035</v>
      </c>
      <c r="Q236" s="32" t="s">
        <v>2036</v>
      </c>
      <c r="R236" s="32">
        <v>1</v>
      </c>
      <c r="S236" s="32">
        <f t="shared" si="3"/>
        <v>1</v>
      </c>
      <c r="T236" s="32">
        <f>--('Ch.10 - Devenir autonome'!I90="✓ Correct")</f>
        <v>0</v>
      </c>
      <c r="U236" s="32">
        <v>1</v>
      </c>
      <c r="V236" s="32">
        <v>0</v>
      </c>
      <c r="W236" s="32">
        <v>0</v>
      </c>
      <c r="X236" s="32">
        <v>0</v>
      </c>
      <c r="Y236" s="32">
        <v>0</v>
      </c>
      <c r="Z236" s="32" t="s">
        <v>2037</v>
      </c>
      <c r="AA236" s="32" t="s">
        <v>2023</v>
      </c>
    </row>
    <row r="237" spans="14:27">
      <c r="N237" s="32" t="s">
        <v>2038</v>
      </c>
      <c r="O237" s="32">
        <v>10</v>
      </c>
      <c r="P237" s="32" t="s">
        <v>2039</v>
      </c>
      <c r="Q237" s="32" t="s">
        <v>2040</v>
      </c>
      <c r="R237" s="32">
        <v>1</v>
      </c>
      <c r="S237" s="32">
        <f t="shared" si="3"/>
        <v>1</v>
      </c>
      <c r="T237" s="32">
        <f>--('Ch.10 - Devenir autonome'!I107="✓ Correct")</f>
        <v>0</v>
      </c>
      <c r="U237" s="32">
        <v>1</v>
      </c>
      <c r="V237" s="32">
        <v>0</v>
      </c>
      <c r="W237" s="32">
        <v>0</v>
      </c>
      <c r="X237" s="32">
        <v>0</v>
      </c>
      <c r="Y237" s="32">
        <v>0</v>
      </c>
      <c r="Z237" s="32" t="s">
        <v>2041</v>
      </c>
      <c r="AA237" s="32" t="s">
        <v>2023</v>
      </c>
    </row>
    <row r="238" spans="14:27">
      <c r="N238" s="32" t="s">
        <v>2042</v>
      </c>
      <c r="O238" s="32">
        <v>10</v>
      </c>
      <c r="P238" s="32" t="s">
        <v>2043</v>
      </c>
      <c r="Q238" s="32" t="s">
        <v>2044</v>
      </c>
      <c r="R238" s="32">
        <v>1</v>
      </c>
      <c r="S238" s="32">
        <f t="shared" si="3"/>
        <v>1</v>
      </c>
      <c r="T238" s="32">
        <f>--('Ch.10 - Devenir autonome'!I124="✓ Correct")</f>
        <v>0</v>
      </c>
      <c r="U238" s="32">
        <v>1</v>
      </c>
      <c r="V238" s="32">
        <v>0</v>
      </c>
      <c r="W238" s="32">
        <v>0</v>
      </c>
      <c r="X238" s="32">
        <v>0</v>
      </c>
      <c r="Y238" s="32">
        <v>0</v>
      </c>
      <c r="Z238" s="32" t="s">
        <v>2045</v>
      </c>
      <c r="AA238" s="32" t="s">
        <v>2023</v>
      </c>
    </row>
    <row r="239" spans="14:27">
      <c r="N239" s="32" t="s">
        <v>2046</v>
      </c>
      <c r="O239" s="32">
        <v>10</v>
      </c>
      <c r="P239" s="32" t="s">
        <v>2047</v>
      </c>
      <c r="Q239" s="32" t="s">
        <v>2048</v>
      </c>
      <c r="R239" s="32">
        <v>1</v>
      </c>
      <c r="S239" s="32">
        <f t="shared" si="3"/>
        <v>1</v>
      </c>
      <c r="T239" s="32">
        <f>--('Ch.10 - Devenir autonome'!I144="✓ Correct")</f>
        <v>0</v>
      </c>
      <c r="U239" s="32">
        <v>0</v>
      </c>
      <c r="V239" s="32">
        <v>0</v>
      </c>
      <c r="W239" s="32">
        <v>1</v>
      </c>
      <c r="X239" s="32">
        <v>0</v>
      </c>
      <c r="Y239" s="32">
        <v>0</v>
      </c>
      <c r="Z239" s="32" t="s">
        <v>2049</v>
      </c>
      <c r="AA239" s="32" t="s">
        <v>2023</v>
      </c>
    </row>
    <row r="240" spans="14:27">
      <c r="N240" s="32" t="s">
        <v>2050</v>
      </c>
      <c r="O240" s="32">
        <v>10</v>
      </c>
      <c r="P240" s="32" t="s">
        <v>2051</v>
      </c>
      <c r="Q240" s="32" t="s">
        <v>2052</v>
      </c>
      <c r="R240" s="32">
        <v>1</v>
      </c>
      <c r="S240" s="32">
        <f t="shared" si="3"/>
        <v>1</v>
      </c>
      <c r="T240" s="32">
        <f>--('Ch.10 - Devenir autonome'!I160="✓ Correct")</f>
        <v>0</v>
      </c>
      <c r="U240" s="32">
        <v>1</v>
      </c>
      <c r="V240" s="32">
        <v>0</v>
      </c>
      <c r="W240" s="32">
        <v>0</v>
      </c>
      <c r="X240" s="32">
        <v>0</v>
      </c>
      <c r="Y240" s="32">
        <v>0</v>
      </c>
      <c r="Z240" s="32" t="s">
        <v>2053</v>
      </c>
      <c r="AA240" s="32" t="s">
        <v>2023</v>
      </c>
    </row>
    <row r="241" spans="14:27">
      <c r="N241" s="32" t="s">
        <v>2054</v>
      </c>
      <c r="O241" s="32">
        <v>10</v>
      </c>
      <c r="P241" s="32" t="s">
        <v>2055</v>
      </c>
      <c r="Q241" s="32" t="s">
        <v>2056</v>
      </c>
      <c r="R241" s="32">
        <v>1</v>
      </c>
      <c r="S241" s="32">
        <f t="shared" si="3"/>
        <v>1</v>
      </c>
      <c r="T241" s="32">
        <f>--('Ch.10 - Devenir autonome'!I175="✓ Correct")</f>
        <v>0</v>
      </c>
      <c r="U241" s="32">
        <v>1</v>
      </c>
      <c r="V241" s="32">
        <v>0</v>
      </c>
      <c r="W241" s="32">
        <v>0</v>
      </c>
      <c r="X241" s="32">
        <v>0</v>
      </c>
      <c r="Y241" s="32">
        <v>0</v>
      </c>
      <c r="Z241" s="32" t="s">
        <v>2057</v>
      </c>
      <c r="AA241" s="32" t="s">
        <v>2023</v>
      </c>
    </row>
    <row r="242" spans="14:27">
      <c r="N242" s="32"/>
      <c r="O242" s="32"/>
      <c r="P242" s="32"/>
      <c r="Q242" s="32"/>
      <c r="R242" s="32"/>
      <c r="S242" s="32">
        <f t="shared" si="3"/>
        <v>0</v>
      </c>
      <c r="T242" s="32">
        <v>0</v>
      </c>
      <c r="U242" s="32"/>
      <c r="V242" s="32"/>
      <c r="W242" s="32"/>
      <c r="X242" s="32"/>
      <c r="Y242" s="32"/>
      <c r="Z242" s="32"/>
      <c r="AA242" s="32"/>
    </row>
    <row r="243" spans="14:27">
      <c r="N243" s="32"/>
      <c r="O243" s="32"/>
      <c r="P243" s="32"/>
      <c r="Q243" s="32"/>
      <c r="R243" s="32"/>
      <c r="S243" s="32">
        <f t="shared" si="3"/>
        <v>0</v>
      </c>
      <c r="T243" s="32">
        <v>0</v>
      </c>
      <c r="U243" s="32"/>
      <c r="V243" s="32"/>
      <c r="W243" s="32"/>
      <c r="X243" s="32"/>
      <c r="Y243" s="32"/>
      <c r="Z243" s="32"/>
      <c r="AA243" s="32"/>
    </row>
    <row r="244" spans="14:27">
      <c r="N244" s="32"/>
      <c r="O244" s="32"/>
      <c r="P244" s="32"/>
      <c r="Q244" s="32"/>
      <c r="R244" s="32"/>
      <c r="S244" s="32">
        <f t="shared" si="3"/>
        <v>0</v>
      </c>
      <c r="T244" s="32">
        <v>0</v>
      </c>
      <c r="U244" s="32"/>
      <c r="V244" s="32"/>
      <c r="W244" s="32"/>
      <c r="X244" s="32"/>
      <c r="Y244" s="32"/>
      <c r="Z244" s="32"/>
      <c r="AA244" s="32"/>
    </row>
    <row r="245" spans="14:27">
      <c r="N245" s="32"/>
      <c r="O245" s="32"/>
      <c r="P245" s="32"/>
      <c r="Q245" s="32"/>
      <c r="R245" s="32"/>
      <c r="S245" s="32">
        <f t="shared" si="3"/>
        <v>0</v>
      </c>
      <c r="T245" s="32">
        <v>0</v>
      </c>
      <c r="U245" s="32"/>
      <c r="V245" s="32"/>
      <c r="W245" s="32"/>
      <c r="X245" s="32"/>
      <c r="Y245" s="32"/>
      <c r="Z245" s="32"/>
      <c r="AA245" s="32"/>
    </row>
    <row r="246" spans="14:27">
      <c r="N246" s="32"/>
      <c r="O246" s="32"/>
      <c r="P246" s="32"/>
      <c r="Q246" s="32"/>
      <c r="R246" s="32"/>
      <c r="S246" s="32">
        <f t="shared" si="3"/>
        <v>0</v>
      </c>
      <c r="T246" s="32">
        <v>0</v>
      </c>
      <c r="U246" s="32"/>
      <c r="V246" s="32"/>
      <c r="W246" s="32"/>
      <c r="X246" s="32"/>
      <c r="Y246" s="32"/>
      <c r="Z246" s="32"/>
      <c r="AA246" s="32"/>
    </row>
    <row r="247" spans="14:27">
      <c r="N247" s="32"/>
      <c r="O247" s="32"/>
      <c r="P247" s="32"/>
      <c r="Q247" s="32"/>
      <c r="R247" s="32"/>
      <c r="S247" s="32">
        <f t="shared" si="3"/>
        <v>0</v>
      </c>
      <c r="T247" s="32">
        <v>0</v>
      </c>
      <c r="U247" s="32"/>
      <c r="V247" s="32"/>
      <c r="W247" s="32"/>
      <c r="X247" s="32"/>
      <c r="Y247" s="32"/>
      <c r="Z247" s="32"/>
      <c r="AA247" s="32"/>
    </row>
    <row r="248" spans="14:27">
      <c r="N248" s="32"/>
      <c r="O248" s="32"/>
      <c r="P248" s="32"/>
      <c r="Q248" s="32"/>
      <c r="R248" s="32"/>
      <c r="S248" s="32">
        <f t="shared" si="3"/>
        <v>0</v>
      </c>
      <c r="T248" s="32">
        <v>0</v>
      </c>
      <c r="U248" s="32"/>
      <c r="V248" s="32"/>
      <c r="W248" s="32"/>
      <c r="X248" s="32"/>
      <c r="Y248" s="32"/>
      <c r="Z248" s="32"/>
      <c r="AA248" s="32"/>
    </row>
    <row r="249" spans="14:27">
      <c r="N249" s="32"/>
      <c r="O249" s="32"/>
      <c r="P249" s="32"/>
      <c r="Q249" s="32"/>
      <c r="R249" s="32"/>
      <c r="S249" s="32">
        <f t="shared" si="3"/>
        <v>0</v>
      </c>
      <c r="T249" s="32">
        <v>0</v>
      </c>
      <c r="U249" s="32"/>
      <c r="V249" s="32"/>
      <c r="W249" s="32"/>
      <c r="X249" s="32"/>
      <c r="Y249" s="32"/>
      <c r="Z249" s="32"/>
      <c r="AA249" s="32"/>
    </row>
    <row r="250" spans="14:27">
      <c r="N250" s="32"/>
      <c r="O250" s="32"/>
      <c r="P250" s="32"/>
      <c r="Q250" s="32"/>
      <c r="R250" s="32"/>
      <c r="S250" s="32">
        <f t="shared" si="3"/>
        <v>0</v>
      </c>
      <c r="T250" s="32">
        <v>0</v>
      </c>
      <c r="U250" s="32"/>
      <c r="V250" s="32"/>
      <c r="W250" s="32"/>
      <c r="X250" s="32"/>
      <c r="Y250" s="32"/>
      <c r="Z250" s="32"/>
      <c r="AA250" s="32"/>
    </row>
    <row r="251" spans="14:27">
      <c r="N251" s="32"/>
      <c r="O251" s="32"/>
      <c r="P251" s="32"/>
      <c r="Q251" s="32"/>
      <c r="R251" s="32"/>
      <c r="S251" s="32">
        <f t="shared" si="3"/>
        <v>0</v>
      </c>
      <c r="T251" s="32">
        <v>0</v>
      </c>
      <c r="U251" s="32"/>
      <c r="V251" s="32"/>
      <c r="W251" s="32"/>
      <c r="X251" s="32"/>
      <c r="Y251" s="32"/>
      <c r="Z251" s="32"/>
      <c r="AA251" s="32"/>
    </row>
    <row r="252" spans="14:27">
      <c r="N252" s="32"/>
      <c r="O252" s="32"/>
      <c r="P252" s="32"/>
      <c r="Q252" s="32"/>
      <c r="R252" s="32"/>
      <c r="S252" s="32">
        <f t="shared" si="3"/>
        <v>0</v>
      </c>
      <c r="T252" s="32">
        <v>0</v>
      </c>
      <c r="U252" s="32"/>
      <c r="V252" s="32"/>
      <c r="W252" s="32"/>
      <c r="X252" s="32"/>
      <c r="Y252" s="32"/>
      <c r="Z252" s="32"/>
      <c r="AA252" s="32"/>
    </row>
    <row r="253" spans="14:27">
      <c r="N253" s="32"/>
      <c r="O253" s="32"/>
      <c r="P253" s="32"/>
      <c r="Q253" s="32"/>
      <c r="R253" s="32"/>
      <c r="S253" s="32">
        <f t="shared" si="3"/>
        <v>0</v>
      </c>
      <c r="T253" s="32">
        <v>0</v>
      </c>
      <c r="U253" s="32"/>
      <c r="V253" s="32"/>
      <c r="W253" s="32"/>
      <c r="X253" s="32"/>
      <c r="Y253" s="32"/>
      <c r="Z253" s="32"/>
      <c r="AA253" s="32"/>
    </row>
    <row r="254" spans="14:27">
      <c r="N254" s="32"/>
      <c r="O254" s="32"/>
      <c r="P254" s="32"/>
      <c r="Q254" s="32"/>
      <c r="R254" s="32"/>
      <c r="S254" s="32">
        <f t="shared" si="3"/>
        <v>0</v>
      </c>
      <c r="T254" s="32">
        <v>0</v>
      </c>
      <c r="U254" s="32"/>
      <c r="V254" s="32"/>
      <c r="W254" s="32"/>
      <c r="X254" s="32"/>
      <c r="Y254" s="32"/>
      <c r="Z254" s="32"/>
      <c r="AA254" s="32"/>
    </row>
    <row r="255" spans="14:27">
      <c r="N255" s="32"/>
      <c r="O255" s="32"/>
      <c r="P255" s="32"/>
      <c r="Q255" s="32"/>
      <c r="R255" s="32"/>
      <c r="S255" s="32">
        <f t="shared" si="3"/>
        <v>0</v>
      </c>
      <c r="T255" s="32">
        <v>0</v>
      </c>
      <c r="U255" s="32"/>
      <c r="V255" s="32"/>
      <c r="W255" s="32"/>
      <c r="X255" s="32"/>
      <c r="Y255" s="32"/>
      <c r="Z255" s="32"/>
      <c r="AA255" s="32"/>
    </row>
    <row r="256" spans="14:27">
      <c r="N256" s="32"/>
      <c r="O256" s="32"/>
      <c r="P256" s="32"/>
      <c r="Q256" s="32"/>
      <c r="R256" s="32"/>
      <c r="S256" s="32">
        <f t="shared" si="3"/>
        <v>0</v>
      </c>
      <c r="T256" s="32">
        <v>0</v>
      </c>
      <c r="U256" s="32"/>
      <c r="V256" s="32"/>
      <c r="W256" s="32"/>
      <c r="X256" s="32"/>
      <c r="Y256" s="32"/>
      <c r="Z256" s="32"/>
      <c r="AA256" s="32"/>
    </row>
    <row r="257" spans="14:27">
      <c r="N257" s="32"/>
      <c r="O257" s="32"/>
      <c r="P257" s="32"/>
      <c r="Q257" s="32"/>
      <c r="R257" s="32"/>
      <c r="S257" s="32">
        <f t="shared" si="3"/>
        <v>0</v>
      </c>
      <c r="T257" s="32">
        <v>0</v>
      </c>
      <c r="U257" s="32"/>
      <c r="V257" s="32"/>
      <c r="W257" s="32"/>
      <c r="X257" s="32"/>
      <c r="Y257" s="32"/>
      <c r="Z257" s="32"/>
      <c r="AA257" s="32"/>
    </row>
    <row r="258" spans="14:27">
      <c r="N258" s="32"/>
      <c r="O258" s="32"/>
      <c r="P258" s="32"/>
      <c r="Q258" s="32"/>
      <c r="R258" s="32"/>
      <c r="S258" s="32">
        <f t="shared" si="3"/>
        <v>0</v>
      </c>
      <c r="T258" s="32">
        <v>0</v>
      </c>
      <c r="U258" s="32"/>
      <c r="V258" s="32"/>
      <c r="W258" s="32"/>
      <c r="X258" s="32"/>
      <c r="Y258" s="32"/>
      <c r="Z258" s="32"/>
      <c r="AA258" s="32"/>
    </row>
    <row r="259" spans="14:27">
      <c r="N259" s="32"/>
      <c r="O259" s="32"/>
      <c r="P259" s="32"/>
      <c r="Q259" s="32"/>
      <c r="R259" s="32"/>
      <c r="S259" s="32">
        <f t="shared" si="3"/>
        <v>0</v>
      </c>
      <c r="T259" s="32">
        <v>0</v>
      </c>
      <c r="U259" s="32"/>
      <c r="V259" s="32"/>
      <c r="W259" s="32"/>
      <c r="X259" s="32"/>
      <c r="Y259" s="32"/>
      <c r="Z259" s="32"/>
      <c r="AA259" s="32"/>
    </row>
    <row r="260" spans="14:27">
      <c r="N260" s="32"/>
      <c r="O260" s="32"/>
      <c r="P260" s="32"/>
      <c r="Q260" s="32"/>
      <c r="R260" s="32"/>
      <c r="S260" s="32">
        <f t="shared" si="3"/>
        <v>0</v>
      </c>
      <c r="T260" s="32">
        <v>0</v>
      </c>
      <c r="U260" s="32"/>
      <c r="V260" s="32"/>
      <c r="W260" s="32"/>
      <c r="X260" s="32"/>
      <c r="Y260" s="32"/>
      <c r="Z260" s="32"/>
      <c r="AA260" s="32"/>
    </row>
    <row r="261" spans="14:27">
      <c r="N261" s="32"/>
      <c r="O261" s="32"/>
      <c r="P261" s="32"/>
      <c r="Q261" s="32"/>
      <c r="R261" s="32"/>
      <c r="S261" s="32">
        <f t="shared" si="3"/>
        <v>0</v>
      </c>
      <c r="T261" s="32">
        <v>0</v>
      </c>
      <c r="U261" s="32"/>
      <c r="V261" s="32"/>
      <c r="W261" s="32"/>
      <c r="X261" s="32"/>
      <c r="Y261" s="32"/>
      <c r="Z261" s="32"/>
      <c r="AA261" s="32"/>
    </row>
    <row r="262" spans="14:27">
      <c r="N262" s="32"/>
      <c r="O262" s="32"/>
      <c r="P262" s="32"/>
      <c r="Q262" s="32"/>
      <c r="R262" s="32"/>
      <c r="S262" s="32">
        <f t="shared" si="3"/>
        <v>0</v>
      </c>
      <c r="T262" s="32">
        <v>0</v>
      </c>
      <c r="U262" s="32"/>
      <c r="V262" s="32"/>
      <c r="W262" s="32"/>
      <c r="X262" s="32"/>
      <c r="Y262" s="32"/>
      <c r="Z262" s="32"/>
      <c r="AA262" s="32"/>
    </row>
    <row r="263" spans="14:27">
      <c r="N263" s="32"/>
      <c r="O263" s="32"/>
      <c r="P263" s="32"/>
      <c r="Q263" s="32"/>
      <c r="R263" s="32"/>
      <c r="S263" s="32">
        <f t="shared" si="3"/>
        <v>0</v>
      </c>
      <c r="T263" s="32">
        <v>0</v>
      </c>
      <c r="U263" s="32"/>
      <c r="V263" s="32"/>
      <c r="W263" s="32"/>
      <c r="X263" s="32"/>
      <c r="Y263" s="32"/>
      <c r="Z263" s="32"/>
      <c r="AA263" s="32"/>
    </row>
    <row r="264" spans="14:27">
      <c r="N264" s="32"/>
      <c r="O264" s="32"/>
      <c r="P264" s="32"/>
      <c r="Q264" s="32"/>
      <c r="R264" s="32"/>
      <c r="S264" s="32">
        <f t="shared" si="3"/>
        <v>0</v>
      </c>
      <c r="T264" s="32">
        <v>0</v>
      </c>
      <c r="U264" s="32"/>
      <c r="V264" s="32"/>
      <c r="W264" s="32"/>
      <c r="X264" s="32"/>
      <c r="Y264" s="32"/>
      <c r="Z264" s="32"/>
      <c r="AA264" s="32"/>
    </row>
    <row r="265" spans="14:27">
      <c r="N265" s="32"/>
      <c r="O265" s="32"/>
      <c r="P265" s="32"/>
      <c r="Q265" s="32"/>
      <c r="R265" s="32"/>
      <c r="S265" s="32">
        <f t="shared" si="3"/>
        <v>0</v>
      </c>
      <c r="T265" s="32">
        <v>0</v>
      </c>
      <c r="U265" s="32"/>
      <c r="V265" s="32"/>
      <c r="W265" s="32"/>
      <c r="X265" s="32"/>
      <c r="Y265" s="32"/>
      <c r="Z265" s="32"/>
      <c r="AA265" s="32"/>
    </row>
    <row r="266" spans="14:27">
      <c r="N266" s="32"/>
      <c r="O266" s="32"/>
      <c r="P266" s="32"/>
      <c r="Q266" s="32"/>
      <c r="R266" s="32"/>
      <c r="S266" s="32">
        <f t="shared" ref="S266:S329" si="4">IF(R266&lt;&gt;1,0,--OR(U266=1,AND($O$2&gt;=2,V266=1),AND($O$2&gt;=3,W266=1),AND($O$2&gt;=4,X266=1),AND($O$2&gt;=5,Y266=1)))</f>
        <v>0</v>
      </c>
      <c r="T266" s="32">
        <v>0</v>
      </c>
      <c r="U266" s="32"/>
      <c r="V266" s="32"/>
      <c r="W266" s="32"/>
      <c r="X266" s="32"/>
      <c r="Y266" s="32"/>
      <c r="Z266" s="32"/>
      <c r="AA266" s="32"/>
    </row>
    <row r="267" spans="14:27">
      <c r="N267" s="32"/>
      <c r="O267" s="32"/>
      <c r="P267" s="32"/>
      <c r="Q267" s="32"/>
      <c r="R267" s="32"/>
      <c r="S267" s="32">
        <f t="shared" si="4"/>
        <v>0</v>
      </c>
      <c r="T267" s="32">
        <v>0</v>
      </c>
      <c r="U267" s="32"/>
      <c r="V267" s="32"/>
      <c r="W267" s="32"/>
      <c r="X267" s="32"/>
      <c r="Y267" s="32"/>
      <c r="Z267" s="32"/>
      <c r="AA267" s="32"/>
    </row>
    <row r="268" spans="14:27">
      <c r="N268" s="32"/>
      <c r="O268" s="32"/>
      <c r="P268" s="32"/>
      <c r="Q268" s="32"/>
      <c r="R268" s="32"/>
      <c r="S268" s="32">
        <f t="shared" si="4"/>
        <v>0</v>
      </c>
      <c r="T268" s="32">
        <v>0</v>
      </c>
      <c r="U268" s="32"/>
      <c r="V268" s="32"/>
      <c r="W268" s="32"/>
      <c r="X268" s="32"/>
      <c r="Y268" s="32"/>
      <c r="Z268" s="32"/>
      <c r="AA268" s="32"/>
    </row>
    <row r="269" spans="14:27">
      <c r="N269" s="32"/>
      <c r="O269" s="32"/>
      <c r="P269" s="32"/>
      <c r="Q269" s="32"/>
      <c r="R269" s="32"/>
      <c r="S269" s="32">
        <f t="shared" si="4"/>
        <v>0</v>
      </c>
      <c r="T269" s="32">
        <v>0</v>
      </c>
      <c r="U269" s="32"/>
      <c r="V269" s="32"/>
      <c r="W269" s="32"/>
      <c r="X269" s="32"/>
      <c r="Y269" s="32"/>
      <c r="Z269" s="32"/>
      <c r="AA269" s="32"/>
    </row>
    <row r="270" spans="14:27">
      <c r="N270" s="32"/>
      <c r="O270" s="32"/>
      <c r="P270" s="32"/>
      <c r="Q270" s="32"/>
      <c r="R270" s="32"/>
      <c r="S270" s="32">
        <f t="shared" si="4"/>
        <v>0</v>
      </c>
      <c r="T270" s="32">
        <v>0</v>
      </c>
      <c r="U270" s="32"/>
      <c r="V270" s="32"/>
      <c r="W270" s="32"/>
      <c r="X270" s="32"/>
      <c r="Y270" s="32"/>
      <c r="Z270" s="32"/>
      <c r="AA270" s="32"/>
    </row>
    <row r="271" spans="14:27">
      <c r="N271" s="32"/>
      <c r="O271" s="32"/>
      <c r="P271" s="32"/>
      <c r="Q271" s="32"/>
      <c r="R271" s="32"/>
      <c r="S271" s="32">
        <f t="shared" si="4"/>
        <v>0</v>
      </c>
      <c r="T271" s="32">
        <v>0</v>
      </c>
      <c r="U271" s="32"/>
      <c r="V271" s="32"/>
      <c r="W271" s="32"/>
      <c r="X271" s="32"/>
      <c r="Y271" s="32"/>
      <c r="Z271" s="32"/>
      <c r="AA271" s="32"/>
    </row>
    <row r="272" spans="14:27">
      <c r="N272" s="32"/>
      <c r="O272" s="32"/>
      <c r="P272" s="32"/>
      <c r="Q272" s="32"/>
      <c r="R272" s="32"/>
      <c r="S272" s="32">
        <f t="shared" si="4"/>
        <v>0</v>
      </c>
      <c r="T272" s="32">
        <v>0</v>
      </c>
      <c r="U272" s="32"/>
      <c r="V272" s="32"/>
      <c r="W272" s="32"/>
      <c r="X272" s="32"/>
      <c r="Y272" s="32"/>
      <c r="Z272" s="32"/>
      <c r="AA272" s="32"/>
    </row>
    <row r="273" spans="14:27">
      <c r="N273" s="32"/>
      <c r="O273" s="32"/>
      <c r="P273" s="32"/>
      <c r="Q273" s="32"/>
      <c r="R273" s="32"/>
      <c r="S273" s="32">
        <f t="shared" si="4"/>
        <v>0</v>
      </c>
      <c r="T273" s="32">
        <v>0</v>
      </c>
      <c r="U273" s="32"/>
      <c r="V273" s="32"/>
      <c r="W273" s="32"/>
      <c r="X273" s="32"/>
      <c r="Y273" s="32"/>
      <c r="Z273" s="32"/>
      <c r="AA273" s="32"/>
    </row>
    <row r="274" spans="14:27">
      <c r="N274" s="32"/>
      <c r="O274" s="32"/>
      <c r="P274" s="32"/>
      <c r="Q274" s="32"/>
      <c r="R274" s="32"/>
      <c r="S274" s="32">
        <f t="shared" si="4"/>
        <v>0</v>
      </c>
      <c r="T274" s="32">
        <v>0</v>
      </c>
      <c r="U274" s="32"/>
      <c r="V274" s="32"/>
      <c r="W274" s="32"/>
      <c r="X274" s="32"/>
      <c r="Y274" s="32"/>
      <c r="Z274" s="32"/>
      <c r="AA274" s="32"/>
    </row>
    <row r="275" spans="14:27">
      <c r="N275" s="32"/>
      <c r="O275" s="32"/>
      <c r="P275" s="32"/>
      <c r="Q275" s="32"/>
      <c r="R275" s="32"/>
      <c r="S275" s="32">
        <f t="shared" si="4"/>
        <v>0</v>
      </c>
      <c r="T275" s="32">
        <v>0</v>
      </c>
      <c r="U275" s="32"/>
      <c r="V275" s="32"/>
      <c r="W275" s="32"/>
      <c r="X275" s="32"/>
      <c r="Y275" s="32"/>
      <c r="Z275" s="32"/>
      <c r="AA275" s="32"/>
    </row>
    <row r="276" spans="14:27">
      <c r="N276" s="32"/>
      <c r="O276" s="32"/>
      <c r="P276" s="32"/>
      <c r="Q276" s="32"/>
      <c r="R276" s="32"/>
      <c r="S276" s="32">
        <f t="shared" si="4"/>
        <v>0</v>
      </c>
      <c r="T276" s="32">
        <v>0</v>
      </c>
      <c r="U276" s="32"/>
      <c r="V276" s="32"/>
      <c r="W276" s="32"/>
      <c r="X276" s="32"/>
      <c r="Y276" s="32"/>
      <c r="Z276" s="32"/>
      <c r="AA276" s="32"/>
    </row>
    <row r="277" spans="14:27">
      <c r="N277" s="32"/>
      <c r="O277" s="32"/>
      <c r="P277" s="32"/>
      <c r="Q277" s="32"/>
      <c r="R277" s="32"/>
      <c r="S277" s="32">
        <f t="shared" si="4"/>
        <v>0</v>
      </c>
      <c r="T277" s="32">
        <v>0</v>
      </c>
      <c r="U277" s="32"/>
      <c r="V277" s="32"/>
      <c r="W277" s="32"/>
      <c r="X277" s="32"/>
      <c r="Y277" s="32"/>
      <c r="Z277" s="32"/>
      <c r="AA277" s="32"/>
    </row>
    <row r="278" spans="14:27">
      <c r="N278" s="32"/>
      <c r="O278" s="32"/>
      <c r="P278" s="32"/>
      <c r="Q278" s="32"/>
      <c r="R278" s="32"/>
      <c r="S278" s="32">
        <f t="shared" si="4"/>
        <v>0</v>
      </c>
      <c r="T278" s="32">
        <v>0</v>
      </c>
      <c r="U278" s="32"/>
      <c r="V278" s="32"/>
      <c r="W278" s="32"/>
      <c r="X278" s="32"/>
      <c r="Y278" s="32"/>
      <c r="Z278" s="32"/>
      <c r="AA278" s="32"/>
    </row>
    <row r="279" spans="14:27">
      <c r="N279" s="32"/>
      <c r="O279" s="32"/>
      <c r="P279" s="32"/>
      <c r="Q279" s="32"/>
      <c r="R279" s="32"/>
      <c r="S279" s="32">
        <f t="shared" si="4"/>
        <v>0</v>
      </c>
      <c r="T279" s="32">
        <v>0</v>
      </c>
      <c r="U279" s="32"/>
      <c r="V279" s="32"/>
      <c r="W279" s="32"/>
      <c r="X279" s="32"/>
      <c r="Y279" s="32"/>
      <c r="Z279" s="32"/>
      <c r="AA279" s="32"/>
    </row>
    <row r="280" spans="14:27">
      <c r="N280" s="32"/>
      <c r="O280" s="32"/>
      <c r="P280" s="32"/>
      <c r="Q280" s="32"/>
      <c r="R280" s="32"/>
      <c r="S280" s="32">
        <f t="shared" si="4"/>
        <v>0</v>
      </c>
      <c r="T280" s="32">
        <v>0</v>
      </c>
      <c r="U280" s="32"/>
      <c r="V280" s="32"/>
      <c r="W280" s="32"/>
      <c r="X280" s="32"/>
      <c r="Y280" s="32"/>
      <c r="Z280" s="32"/>
      <c r="AA280" s="32"/>
    </row>
    <row r="281" spans="14:27">
      <c r="N281" s="32"/>
      <c r="O281" s="32"/>
      <c r="P281" s="32"/>
      <c r="Q281" s="32"/>
      <c r="R281" s="32"/>
      <c r="S281" s="32">
        <f t="shared" si="4"/>
        <v>0</v>
      </c>
      <c r="T281" s="32">
        <v>0</v>
      </c>
      <c r="U281" s="32"/>
      <c r="V281" s="32"/>
      <c r="W281" s="32"/>
      <c r="X281" s="32"/>
      <c r="Y281" s="32"/>
      <c r="Z281" s="32"/>
      <c r="AA281" s="32"/>
    </row>
    <row r="282" spans="14:27">
      <c r="N282" s="32"/>
      <c r="O282" s="32"/>
      <c r="P282" s="32"/>
      <c r="Q282" s="32"/>
      <c r="R282" s="32"/>
      <c r="S282" s="32">
        <f t="shared" si="4"/>
        <v>0</v>
      </c>
      <c r="T282" s="32">
        <v>0</v>
      </c>
      <c r="U282" s="32"/>
      <c r="V282" s="32"/>
      <c r="W282" s="32"/>
      <c r="X282" s="32"/>
      <c r="Y282" s="32"/>
      <c r="Z282" s="32"/>
      <c r="AA282" s="32"/>
    </row>
    <row r="283" spans="14:27">
      <c r="N283" s="32"/>
      <c r="O283" s="32"/>
      <c r="P283" s="32"/>
      <c r="Q283" s="32"/>
      <c r="R283" s="32"/>
      <c r="S283" s="32">
        <f t="shared" si="4"/>
        <v>0</v>
      </c>
      <c r="T283" s="32">
        <v>0</v>
      </c>
      <c r="U283" s="32"/>
      <c r="V283" s="32"/>
      <c r="W283" s="32"/>
      <c r="X283" s="32"/>
      <c r="Y283" s="32"/>
      <c r="Z283" s="32"/>
      <c r="AA283" s="32"/>
    </row>
    <row r="284" spans="14:27">
      <c r="N284" s="32"/>
      <c r="O284" s="32"/>
      <c r="P284" s="32"/>
      <c r="Q284" s="32"/>
      <c r="R284" s="32"/>
      <c r="S284" s="32">
        <f t="shared" si="4"/>
        <v>0</v>
      </c>
      <c r="T284" s="32">
        <v>0</v>
      </c>
      <c r="U284" s="32"/>
      <c r="V284" s="32"/>
      <c r="W284" s="32"/>
      <c r="X284" s="32"/>
      <c r="Y284" s="32"/>
      <c r="Z284" s="32"/>
      <c r="AA284" s="32"/>
    </row>
    <row r="285" spans="14:27">
      <c r="N285" s="32"/>
      <c r="O285" s="32"/>
      <c r="P285" s="32"/>
      <c r="Q285" s="32"/>
      <c r="R285" s="32"/>
      <c r="S285" s="32">
        <f t="shared" si="4"/>
        <v>0</v>
      </c>
      <c r="T285" s="32">
        <v>0</v>
      </c>
      <c r="U285" s="32"/>
      <c r="V285" s="32"/>
      <c r="W285" s="32"/>
      <c r="X285" s="32"/>
      <c r="Y285" s="32"/>
      <c r="Z285" s="32"/>
      <c r="AA285" s="32"/>
    </row>
    <row r="286" spans="14:27">
      <c r="N286" s="32"/>
      <c r="O286" s="32"/>
      <c r="P286" s="32"/>
      <c r="Q286" s="32"/>
      <c r="R286" s="32"/>
      <c r="S286" s="32">
        <f t="shared" si="4"/>
        <v>0</v>
      </c>
      <c r="T286" s="32">
        <v>0</v>
      </c>
      <c r="U286" s="32"/>
      <c r="V286" s="32"/>
      <c r="W286" s="32"/>
      <c r="X286" s="32"/>
      <c r="Y286" s="32"/>
      <c r="Z286" s="32"/>
      <c r="AA286" s="32"/>
    </row>
    <row r="287" spans="14:27">
      <c r="N287" s="32"/>
      <c r="O287" s="32"/>
      <c r="P287" s="32"/>
      <c r="Q287" s="32"/>
      <c r="R287" s="32"/>
      <c r="S287" s="32">
        <f t="shared" si="4"/>
        <v>0</v>
      </c>
      <c r="T287" s="32">
        <v>0</v>
      </c>
      <c r="U287" s="32"/>
      <c r="V287" s="32"/>
      <c r="W287" s="32"/>
      <c r="X287" s="32"/>
      <c r="Y287" s="32"/>
      <c r="Z287" s="32"/>
      <c r="AA287" s="32"/>
    </row>
    <row r="288" spans="14:27">
      <c r="N288" s="32"/>
      <c r="O288" s="32"/>
      <c r="P288" s="32"/>
      <c r="Q288" s="32"/>
      <c r="R288" s="32"/>
      <c r="S288" s="32">
        <f t="shared" si="4"/>
        <v>0</v>
      </c>
      <c r="T288" s="32">
        <v>0</v>
      </c>
      <c r="U288" s="32"/>
      <c r="V288" s="32"/>
      <c r="W288" s="32"/>
      <c r="X288" s="32"/>
      <c r="Y288" s="32"/>
      <c r="Z288" s="32"/>
      <c r="AA288" s="32"/>
    </row>
    <row r="289" spans="14:27">
      <c r="N289" s="32"/>
      <c r="O289" s="32"/>
      <c r="P289" s="32"/>
      <c r="Q289" s="32"/>
      <c r="R289" s="32"/>
      <c r="S289" s="32">
        <f t="shared" si="4"/>
        <v>0</v>
      </c>
      <c r="T289" s="32">
        <v>0</v>
      </c>
      <c r="U289" s="32"/>
      <c r="V289" s="32"/>
      <c r="W289" s="32"/>
      <c r="X289" s="32"/>
      <c r="Y289" s="32"/>
      <c r="Z289" s="32"/>
      <c r="AA289" s="32"/>
    </row>
    <row r="290" spans="14:27">
      <c r="N290" s="32"/>
      <c r="O290" s="32"/>
      <c r="P290" s="32"/>
      <c r="Q290" s="32"/>
      <c r="R290" s="32"/>
      <c r="S290" s="32">
        <f t="shared" si="4"/>
        <v>0</v>
      </c>
      <c r="T290" s="32">
        <v>0</v>
      </c>
      <c r="U290" s="32"/>
      <c r="V290" s="32"/>
      <c r="W290" s="32"/>
      <c r="X290" s="32"/>
      <c r="Y290" s="32"/>
      <c r="Z290" s="32"/>
      <c r="AA290" s="32"/>
    </row>
    <row r="291" spans="14:27">
      <c r="N291" s="32"/>
      <c r="O291" s="32"/>
      <c r="P291" s="32"/>
      <c r="Q291" s="32"/>
      <c r="R291" s="32"/>
      <c r="S291" s="32">
        <f t="shared" si="4"/>
        <v>0</v>
      </c>
      <c r="T291" s="32">
        <v>0</v>
      </c>
      <c r="U291" s="32"/>
      <c r="V291" s="32"/>
      <c r="W291" s="32"/>
      <c r="X291" s="32"/>
      <c r="Y291" s="32"/>
      <c r="Z291" s="32"/>
      <c r="AA291" s="32"/>
    </row>
    <row r="292" spans="14:27">
      <c r="N292" s="32"/>
      <c r="O292" s="32"/>
      <c r="P292" s="32"/>
      <c r="Q292" s="32"/>
      <c r="R292" s="32"/>
      <c r="S292" s="32">
        <f t="shared" si="4"/>
        <v>0</v>
      </c>
      <c r="T292" s="32">
        <v>0</v>
      </c>
      <c r="U292" s="32"/>
      <c r="V292" s="32"/>
      <c r="W292" s="32"/>
      <c r="X292" s="32"/>
      <c r="Y292" s="32"/>
      <c r="Z292" s="32"/>
      <c r="AA292" s="32"/>
    </row>
    <row r="293" spans="14:27">
      <c r="N293" s="32"/>
      <c r="O293" s="32"/>
      <c r="P293" s="32"/>
      <c r="Q293" s="32"/>
      <c r="R293" s="32"/>
      <c r="S293" s="32">
        <f t="shared" si="4"/>
        <v>0</v>
      </c>
      <c r="T293" s="32">
        <v>0</v>
      </c>
      <c r="U293" s="32"/>
      <c r="V293" s="32"/>
      <c r="W293" s="32"/>
      <c r="X293" s="32"/>
      <c r="Y293" s="32"/>
      <c r="Z293" s="32"/>
      <c r="AA293" s="32"/>
    </row>
    <row r="294" spans="14:27">
      <c r="N294" s="32"/>
      <c r="O294" s="32"/>
      <c r="P294" s="32"/>
      <c r="Q294" s="32"/>
      <c r="R294" s="32"/>
      <c r="S294" s="32">
        <f t="shared" si="4"/>
        <v>0</v>
      </c>
      <c r="T294" s="32">
        <v>0</v>
      </c>
      <c r="U294" s="32"/>
      <c r="V294" s="32"/>
      <c r="W294" s="32"/>
      <c r="X294" s="32"/>
      <c r="Y294" s="32"/>
      <c r="Z294" s="32"/>
      <c r="AA294" s="32"/>
    </row>
    <row r="295" spans="14:27">
      <c r="N295" s="32"/>
      <c r="O295" s="32"/>
      <c r="P295" s="32"/>
      <c r="Q295" s="32"/>
      <c r="R295" s="32"/>
      <c r="S295" s="32">
        <f t="shared" si="4"/>
        <v>0</v>
      </c>
      <c r="T295" s="32">
        <v>0</v>
      </c>
      <c r="U295" s="32"/>
      <c r="V295" s="32"/>
      <c r="W295" s="32"/>
      <c r="X295" s="32"/>
      <c r="Y295" s="32"/>
      <c r="Z295" s="32"/>
      <c r="AA295" s="32"/>
    </row>
    <row r="296" spans="14:27">
      <c r="N296" s="32"/>
      <c r="O296" s="32"/>
      <c r="P296" s="32"/>
      <c r="Q296" s="32"/>
      <c r="R296" s="32"/>
      <c r="S296" s="32">
        <f t="shared" si="4"/>
        <v>0</v>
      </c>
      <c r="T296" s="32">
        <v>0</v>
      </c>
      <c r="U296" s="32"/>
      <c r="V296" s="32"/>
      <c r="W296" s="32"/>
      <c r="X296" s="32"/>
      <c r="Y296" s="32"/>
      <c r="Z296" s="32"/>
      <c r="AA296" s="32"/>
    </row>
    <row r="297" spans="14:27">
      <c r="N297" s="32"/>
      <c r="O297" s="32"/>
      <c r="P297" s="32"/>
      <c r="Q297" s="32"/>
      <c r="R297" s="32"/>
      <c r="S297" s="32">
        <f t="shared" si="4"/>
        <v>0</v>
      </c>
      <c r="T297" s="32">
        <v>0</v>
      </c>
      <c r="U297" s="32"/>
      <c r="V297" s="32"/>
      <c r="W297" s="32"/>
      <c r="X297" s="32"/>
      <c r="Y297" s="32"/>
      <c r="Z297" s="32"/>
      <c r="AA297" s="32"/>
    </row>
    <row r="298" spans="14:27">
      <c r="N298" s="32"/>
      <c r="O298" s="32"/>
      <c r="P298" s="32"/>
      <c r="Q298" s="32"/>
      <c r="R298" s="32"/>
      <c r="S298" s="32">
        <f t="shared" si="4"/>
        <v>0</v>
      </c>
      <c r="T298" s="32">
        <v>0</v>
      </c>
      <c r="U298" s="32"/>
      <c r="V298" s="32"/>
      <c r="W298" s="32"/>
      <c r="X298" s="32"/>
      <c r="Y298" s="32"/>
      <c r="Z298" s="32"/>
      <c r="AA298" s="32"/>
    </row>
    <row r="299" spans="14:27">
      <c r="N299" s="32"/>
      <c r="O299" s="32"/>
      <c r="P299" s="32"/>
      <c r="Q299" s="32"/>
      <c r="R299" s="32"/>
      <c r="S299" s="32">
        <f t="shared" si="4"/>
        <v>0</v>
      </c>
      <c r="T299" s="32">
        <v>0</v>
      </c>
      <c r="U299" s="32"/>
      <c r="V299" s="32"/>
      <c r="W299" s="32"/>
      <c r="X299" s="32"/>
      <c r="Y299" s="32"/>
      <c r="Z299" s="32"/>
      <c r="AA299" s="32"/>
    </row>
    <row r="300" spans="14:27">
      <c r="N300" s="32"/>
      <c r="O300" s="32"/>
      <c r="P300" s="32"/>
      <c r="Q300" s="32"/>
      <c r="R300" s="32"/>
      <c r="S300" s="32">
        <f t="shared" si="4"/>
        <v>0</v>
      </c>
      <c r="T300" s="32">
        <v>0</v>
      </c>
      <c r="U300" s="32"/>
      <c r="V300" s="32"/>
      <c r="W300" s="32"/>
      <c r="X300" s="32"/>
      <c r="Y300" s="32"/>
      <c r="Z300" s="32"/>
      <c r="AA300" s="32"/>
    </row>
    <row r="301" spans="14:27">
      <c r="N301" s="32"/>
      <c r="O301" s="32"/>
      <c r="P301" s="32"/>
      <c r="Q301" s="32"/>
      <c r="R301" s="32"/>
      <c r="S301" s="32">
        <f t="shared" si="4"/>
        <v>0</v>
      </c>
      <c r="T301" s="32">
        <v>0</v>
      </c>
      <c r="U301" s="32"/>
      <c r="V301" s="32"/>
      <c r="W301" s="32"/>
      <c r="X301" s="32"/>
      <c r="Y301" s="32"/>
      <c r="Z301" s="32"/>
      <c r="AA301" s="32"/>
    </row>
    <row r="302" spans="14:27">
      <c r="N302" s="32"/>
      <c r="O302" s="32"/>
      <c r="P302" s="32"/>
      <c r="Q302" s="32"/>
      <c r="R302" s="32"/>
      <c r="S302" s="32">
        <f t="shared" si="4"/>
        <v>0</v>
      </c>
      <c r="T302" s="32">
        <v>0</v>
      </c>
      <c r="U302" s="32"/>
      <c r="V302" s="32"/>
      <c r="W302" s="32"/>
      <c r="X302" s="32"/>
      <c r="Y302" s="32"/>
      <c r="Z302" s="32"/>
      <c r="AA302" s="32"/>
    </row>
    <row r="303" spans="14:27">
      <c r="N303" s="32"/>
      <c r="O303" s="32"/>
      <c r="P303" s="32"/>
      <c r="Q303" s="32"/>
      <c r="R303" s="32"/>
      <c r="S303" s="32">
        <f t="shared" si="4"/>
        <v>0</v>
      </c>
      <c r="T303" s="32">
        <v>0</v>
      </c>
      <c r="U303" s="32"/>
      <c r="V303" s="32"/>
      <c r="W303" s="32"/>
      <c r="X303" s="32"/>
      <c r="Y303" s="32"/>
      <c r="Z303" s="32"/>
      <c r="AA303" s="32"/>
    </row>
    <row r="304" spans="14:27">
      <c r="N304" s="32"/>
      <c r="O304" s="32"/>
      <c r="P304" s="32"/>
      <c r="Q304" s="32"/>
      <c r="R304" s="32"/>
      <c r="S304" s="32">
        <f t="shared" si="4"/>
        <v>0</v>
      </c>
      <c r="T304" s="32">
        <v>0</v>
      </c>
      <c r="U304" s="32"/>
      <c r="V304" s="32"/>
      <c r="W304" s="32"/>
      <c r="X304" s="32"/>
      <c r="Y304" s="32"/>
      <c r="Z304" s="32"/>
      <c r="AA304" s="32"/>
    </row>
    <row r="305" spans="14:27">
      <c r="N305" s="32"/>
      <c r="O305" s="32"/>
      <c r="P305" s="32"/>
      <c r="Q305" s="32"/>
      <c r="R305" s="32"/>
      <c r="S305" s="32">
        <f t="shared" si="4"/>
        <v>0</v>
      </c>
      <c r="T305" s="32">
        <v>0</v>
      </c>
      <c r="U305" s="32"/>
      <c r="V305" s="32"/>
      <c r="W305" s="32"/>
      <c r="X305" s="32"/>
      <c r="Y305" s="32"/>
      <c r="Z305" s="32"/>
      <c r="AA305" s="32"/>
    </row>
    <row r="306" spans="14:27">
      <c r="N306" s="32"/>
      <c r="O306" s="32"/>
      <c r="P306" s="32"/>
      <c r="Q306" s="32"/>
      <c r="R306" s="32"/>
      <c r="S306" s="32">
        <f t="shared" si="4"/>
        <v>0</v>
      </c>
      <c r="T306" s="32">
        <v>0</v>
      </c>
      <c r="U306" s="32"/>
      <c r="V306" s="32"/>
      <c r="W306" s="32"/>
      <c r="X306" s="32"/>
      <c r="Y306" s="32"/>
      <c r="Z306" s="32"/>
      <c r="AA306" s="32"/>
    </row>
    <row r="307" spans="14:27">
      <c r="N307" s="32"/>
      <c r="O307" s="32"/>
      <c r="P307" s="32"/>
      <c r="Q307" s="32"/>
      <c r="R307" s="32"/>
      <c r="S307" s="32">
        <f t="shared" si="4"/>
        <v>0</v>
      </c>
      <c r="T307" s="32">
        <v>0</v>
      </c>
      <c r="U307" s="32"/>
      <c r="V307" s="32"/>
      <c r="W307" s="32"/>
      <c r="X307" s="32"/>
      <c r="Y307" s="32"/>
      <c r="Z307" s="32"/>
      <c r="AA307" s="32"/>
    </row>
    <row r="308" spans="14:27">
      <c r="N308" s="32"/>
      <c r="O308" s="32"/>
      <c r="P308" s="32"/>
      <c r="Q308" s="32"/>
      <c r="R308" s="32"/>
      <c r="S308" s="32">
        <f t="shared" si="4"/>
        <v>0</v>
      </c>
      <c r="T308" s="32">
        <v>0</v>
      </c>
      <c r="U308" s="32"/>
      <c r="V308" s="32"/>
      <c r="W308" s="32"/>
      <c r="X308" s="32"/>
      <c r="Y308" s="32"/>
      <c r="Z308" s="32"/>
      <c r="AA308" s="32"/>
    </row>
    <row r="309" spans="14:27">
      <c r="N309" s="32"/>
      <c r="O309" s="32"/>
      <c r="P309" s="32"/>
      <c r="Q309" s="32"/>
      <c r="R309" s="32"/>
      <c r="S309" s="32">
        <f t="shared" si="4"/>
        <v>0</v>
      </c>
      <c r="T309" s="32">
        <v>0</v>
      </c>
      <c r="U309" s="32"/>
      <c r="V309" s="32"/>
      <c r="W309" s="32"/>
      <c r="X309" s="32"/>
      <c r="Y309" s="32"/>
      <c r="Z309" s="32"/>
      <c r="AA309" s="32"/>
    </row>
    <row r="310" spans="14:27">
      <c r="N310" s="32"/>
      <c r="O310" s="32"/>
      <c r="P310" s="32"/>
      <c r="Q310" s="32"/>
      <c r="R310" s="32"/>
      <c r="S310" s="32">
        <f t="shared" si="4"/>
        <v>0</v>
      </c>
      <c r="T310" s="32">
        <v>0</v>
      </c>
      <c r="U310" s="32"/>
      <c r="V310" s="32"/>
      <c r="W310" s="32"/>
      <c r="X310" s="32"/>
      <c r="Y310" s="32"/>
      <c r="Z310" s="32"/>
      <c r="AA310" s="32"/>
    </row>
    <row r="311" spans="14:27">
      <c r="N311" s="32"/>
      <c r="O311" s="32"/>
      <c r="P311" s="32"/>
      <c r="Q311" s="32"/>
      <c r="R311" s="32"/>
      <c r="S311" s="32">
        <f t="shared" si="4"/>
        <v>0</v>
      </c>
      <c r="T311" s="32">
        <v>0</v>
      </c>
      <c r="U311" s="32"/>
      <c r="V311" s="32"/>
      <c r="W311" s="32"/>
      <c r="X311" s="32"/>
      <c r="Y311" s="32"/>
      <c r="Z311" s="32"/>
      <c r="AA311" s="32"/>
    </row>
    <row r="312" spans="14:27">
      <c r="N312" s="32"/>
      <c r="O312" s="32"/>
      <c r="P312" s="32"/>
      <c r="Q312" s="32"/>
      <c r="R312" s="32"/>
      <c r="S312" s="32">
        <f t="shared" si="4"/>
        <v>0</v>
      </c>
      <c r="T312" s="32">
        <v>0</v>
      </c>
      <c r="U312" s="32"/>
      <c r="V312" s="32"/>
      <c r="W312" s="32"/>
      <c r="X312" s="32"/>
      <c r="Y312" s="32"/>
      <c r="Z312" s="32"/>
      <c r="AA312" s="32"/>
    </row>
    <row r="313" spans="14:27">
      <c r="N313" s="32"/>
      <c r="O313" s="32"/>
      <c r="P313" s="32"/>
      <c r="Q313" s="32"/>
      <c r="R313" s="32"/>
      <c r="S313" s="32">
        <f t="shared" si="4"/>
        <v>0</v>
      </c>
      <c r="T313" s="32">
        <v>0</v>
      </c>
      <c r="U313" s="32"/>
      <c r="V313" s="32"/>
      <c r="W313" s="32"/>
      <c r="X313" s="32"/>
      <c r="Y313" s="32"/>
      <c r="Z313" s="32"/>
      <c r="AA313" s="32"/>
    </row>
    <row r="314" spans="14:27">
      <c r="N314" s="32"/>
      <c r="O314" s="32"/>
      <c r="P314" s="32"/>
      <c r="Q314" s="32"/>
      <c r="R314" s="32"/>
      <c r="S314" s="32">
        <f t="shared" si="4"/>
        <v>0</v>
      </c>
      <c r="T314" s="32">
        <v>0</v>
      </c>
      <c r="U314" s="32"/>
      <c r="V314" s="32"/>
      <c r="W314" s="32"/>
      <c r="X314" s="32"/>
      <c r="Y314" s="32"/>
      <c r="Z314" s="32"/>
      <c r="AA314" s="32"/>
    </row>
    <row r="315" spans="14:27">
      <c r="N315" s="32"/>
      <c r="O315" s="32"/>
      <c r="P315" s="32"/>
      <c r="Q315" s="32"/>
      <c r="R315" s="32"/>
      <c r="S315" s="32">
        <f t="shared" si="4"/>
        <v>0</v>
      </c>
      <c r="T315" s="32">
        <v>0</v>
      </c>
      <c r="U315" s="32"/>
      <c r="V315" s="32"/>
      <c r="W315" s="32"/>
      <c r="X315" s="32"/>
      <c r="Y315" s="32"/>
      <c r="Z315" s="32"/>
      <c r="AA315" s="32"/>
    </row>
    <row r="316" spans="14:27">
      <c r="N316" s="32"/>
      <c r="O316" s="32"/>
      <c r="P316" s="32"/>
      <c r="Q316" s="32"/>
      <c r="R316" s="32"/>
      <c r="S316" s="32">
        <f t="shared" si="4"/>
        <v>0</v>
      </c>
      <c r="T316" s="32">
        <v>0</v>
      </c>
      <c r="U316" s="32"/>
      <c r="V316" s="32"/>
      <c r="W316" s="32"/>
      <c r="X316" s="32"/>
      <c r="Y316" s="32"/>
      <c r="Z316" s="32"/>
      <c r="AA316" s="32"/>
    </row>
    <row r="317" spans="14:27">
      <c r="N317" s="32"/>
      <c r="O317" s="32"/>
      <c r="P317" s="32"/>
      <c r="Q317" s="32"/>
      <c r="R317" s="32"/>
      <c r="S317" s="32">
        <f t="shared" si="4"/>
        <v>0</v>
      </c>
      <c r="T317" s="32">
        <v>0</v>
      </c>
      <c r="U317" s="32"/>
      <c r="V317" s="32"/>
      <c r="W317" s="32"/>
      <c r="X317" s="32"/>
      <c r="Y317" s="32"/>
      <c r="Z317" s="32"/>
      <c r="AA317" s="32"/>
    </row>
    <row r="318" spans="14:27">
      <c r="N318" s="32"/>
      <c r="O318" s="32"/>
      <c r="P318" s="32"/>
      <c r="Q318" s="32"/>
      <c r="R318" s="32"/>
      <c r="S318" s="32">
        <f t="shared" si="4"/>
        <v>0</v>
      </c>
      <c r="T318" s="32">
        <v>0</v>
      </c>
      <c r="U318" s="32"/>
      <c r="V318" s="32"/>
      <c r="W318" s="32"/>
      <c r="X318" s="32"/>
      <c r="Y318" s="32"/>
      <c r="Z318" s="32"/>
      <c r="AA318" s="32"/>
    </row>
    <row r="319" spans="14:27">
      <c r="N319" s="32"/>
      <c r="O319" s="32"/>
      <c r="P319" s="32"/>
      <c r="Q319" s="32"/>
      <c r="R319" s="32"/>
      <c r="S319" s="32">
        <f t="shared" si="4"/>
        <v>0</v>
      </c>
      <c r="T319" s="32">
        <v>0</v>
      </c>
      <c r="U319" s="32"/>
      <c r="V319" s="32"/>
      <c r="W319" s="32"/>
      <c r="X319" s="32"/>
      <c r="Y319" s="32"/>
      <c r="Z319" s="32"/>
      <c r="AA319" s="32"/>
    </row>
    <row r="320" spans="14:27">
      <c r="N320" s="32"/>
      <c r="O320" s="32"/>
      <c r="P320" s="32"/>
      <c r="Q320" s="32"/>
      <c r="R320" s="32"/>
      <c r="S320" s="32">
        <f t="shared" si="4"/>
        <v>0</v>
      </c>
      <c r="T320" s="32">
        <v>0</v>
      </c>
      <c r="U320" s="32"/>
      <c r="V320" s="32"/>
      <c r="W320" s="32"/>
      <c r="X320" s="32"/>
      <c r="Y320" s="32"/>
      <c r="Z320" s="32"/>
      <c r="AA320" s="32"/>
    </row>
    <row r="321" spans="14:27">
      <c r="N321" s="32"/>
      <c r="O321" s="32"/>
      <c r="P321" s="32"/>
      <c r="Q321" s="32"/>
      <c r="R321" s="32"/>
      <c r="S321" s="32">
        <f t="shared" si="4"/>
        <v>0</v>
      </c>
      <c r="T321" s="32">
        <v>0</v>
      </c>
      <c r="U321" s="32"/>
      <c r="V321" s="32"/>
      <c r="W321" s="32"/>
      <c r="X321" s="32"/>
      <c r="Y321" s="32"/>
      <c r="Z321" s="32"/>
      <c r="AA321" s="32"/>
    </row>
    <row r="322" spans="14:27">
      <c r="N322" s="32"/>
      <c r="O322" s="32"/>
      <c r="P322" s="32"/>
      <c r="Q322" s="32"/>
      <c r="R322" s="32"/>
      <c r="S322" s="32">
        <f t="shared" si="4"/>
        <v>0</v>
      </c>
      <c r="T322" s="32">
        <v>0</v>
      </c>
      <c r="U322" s="32"/>
      <c r="V322" s="32"/>
      <c r="W322" s="32"/>
      <c r="X322" s="32"/>
      <c r="Y322" s="32"/>
      <c r="Z322" s="32"/>
      <c r="AA322" s="32"/>
    </row>
    <row r="323" spans="14:27">
      <c r="N323" s="32"/>
      <c r="O323" s="32"/>
      <c r="P323" s="32"/>
      <c r="Q323" s="32"/>
      <c r="R323" s="32"/>
      <c r="S323" s="32">
        <f t="shared" si="4"/>
        <v>0</v>
      </c>
      <c r="T323" s="32">
        <v>0</v>
      </c>
      <c r="U323" s="32"/>
      <c r="V323" s="32"/>
      <c r="W323" s="32"/>
      <c r="X323" s="32"/>
      <c r="Y323" s="32"/>
      <c r="Z323" s="32"/>
      <c r="AA323" s="32"/>
    </row>
    <row r="324" spans="14:27">
      <c r="N324" s="32"/>
      <c r="O324" s="32"/>
      <c r="P324" s="32"/>
      <c r="Q324" s="32"/>
      <c r="R324" s="32"/>
      <c r="S324" s="32">
        <f t="shared" si="4"/>
        <v>0</v>
      </c>
      <c r="T324" s="32">
        <v>0</v>
      </c>
      <c r="U324" s="32"/>
      <c r="V324" s="32"/>
      <c r="W324" s="32"/>
      <c r="X324" s="32"/>
      <c r="Y324" s="32"/>
      <c r="Z324" s="32"/>
      <c r="AA324" s="32"/>
    </row>
    <row r="325" spans="14:27">
      <c r="N325" s="32"/>
      <c r="O325" s="32"/>
      <c r="P325" s="32"/>
      <c r="Q325" s="32"/>
      <c r="R325" s="32"/>
      <c r="S325" s="32">
        <f t="shared" si="4"/>
        <v>0</v>
      </c>
      <c r="T325" s="32">
        <v>0</v>
      </c>
      <c r="U325" s="32"/>
      <c r="V325" s="32"/>
      <c r="W325" s="32"/>
      <c r="X325" s="32"/>
      <c r="Y325" s="32"/>
      <c r="Z325" s="32"/>
      <c r="AA325" s="32"/>
    </row>
    <row r="326" spans="14:27">
      <c r="N326" s="32"/>
      <c r="O326" s="32"/>
      <c r="P326" s="32"/>
      <c r="Q326" s="32"/>
      <c r="R326" s="32"/>
      <c r="S326" s="32">
        <f t="shared" si="4"/>
        <v>0</v>
      </c>
      <c r="T326" s="32">
        <v>0</v>
      </c>
      <c r="U326" s="32"/>
      <c r="V326" s="32"/>
      <c r="W326" s="32"/>
      <c r="X326" s="32"/>
      <c r="Y326" s="32"/>
      <c r="Z326" s="32"/>
      <c r="AA326" s="32"/>
    </row>
    <row r="327" spans="14:27">
      <c r="N327" s="32"/>
      <c r="O327" s="32"/>
      <c r="P327" s="32"/>
      <c r="Q327" s="32"/>
      <c r="R327" s="32"/>
      <c r="S327" s="32">
        <f t="shared" si="4"/>
        <v>0</v>
      </c>
      <c r="T327" s="32">
        <v>0</v>
      </c>
      <c r="U327" s="32"/>
      <c r="V327" s="32"/>
      <c r="W327" s="32"/>
      <c r="X327" s="32"/>
      <c r="Y327" s="32"/>
      <c r="Z327" s="32"/>
      <c r="AA327" s="32"/>
    </row>
    <row r="328" spans="14:27">
      <c r="N328" s="32"/>
      <c r="O328" s="32"/>
      <c r="P328" s="32"/>
      <c r="Q328" s="32"/>
      <c r="R328" s="32"/>
      <c r="S328" s="32">
        <f t="shared" si="4"/>
        <v>0</v>
      </c>
      <c r="T328" s="32">
        <v>0</v>
      </c>
      <c r="U328" s="32"/>
      <c r="V328" s="32"/>
      <c r="W328" s="32"/>
      <c r="X328" s="32"/>
      <c r="Y328" s="32"/>
      <c r="Z328" s="32"/>
      <c r="AA328" s="32"/>
    </row>
    <row r="329" spans="14:27">
      <c r="N329" s="32"/>
      <c r="O329" s="32"/>
      <c r="P329" s="32"/>
      <c r="Q329" s="32"/>
      <c r="R329" s="32"/>
      <c r="S329" s="32">
        <f t="shared" si="4"/>
        <v>0</v>
      </c>
      <c r="T329" s="32">
        <v>0</v>
      </c>
      <c r="U329" s="32"/>
      <c r="V329" s="32"/>
      <c r="W329" s="32"/>
      <c r="X329" s="32"/>
      <c r="Y329" s="32"/>
      <c r="Z329" s="32"/>
      <c r="AA329" s="32"/>
    </row>
    <row r="330" spans="14:27">
      <c r="N330" s="32"/>
      <c r="O330" s="32"/>
      <c r="P330" s="32"/>
      <c r="Q330" s="32"/>
      <c r="R330" s="32"/>
      <c r="S330" s="32">
        <f t="shared" ref="S330:S393" si="5">IF(R330&lt;&gt;1,0,--OR(U330=1,AND($O$2&gt;=2,V330=1),AND($O$2&gt;=3,W330=1),AND($O$2&gt;=4,X330=1),AND($O$2&gt;=5,Y330=1)))</f>
        <v>0</v>
      </c>
      <c r="T330" s="32">
        <v>0</v>
      </c>
      <c r="U330" s="32"/>
      <c r="V330" s="32"/>
      <c r="W330" s="32"/>
      <c r="X330" s="32"/>
      <c r="Y330" s="32"/>
      <c r="Z330" s="32"/>
      <c r="AA330" s="32"/>
    </row>
    <row r="331" spans="14:27">
      <c r="N331" s="32"/>
      <c r="O331" s="32"/>
      <c r="P331" s="32"/>
      <c r="Q331" s="32"/>
      <c r="R331" s="32"/>
      <c r="S331" s="32">
        <f t="shared" si="5"/>
        <v>0</v>
      </c>
      <c r="T331" s="32">
        <v>0</v>
      </c>
      <c r="U331" s="32"/>
      <c r="V331" s="32"/>
      <c r="W331" s="32"/>
      <c r="X331" s="32"/>
      <c r="Y331" s="32"/>
      <c r="Z331" s="32"/>
      <c r="AA331" s="32"/>
    </row>
    <row r="332" spans="14:27">
      <c r="N332" s="32"/>
      <c r="O332" s="32"/>
      <c r="P332" s="32"/>
      <c r="Q332" s="32"/>
      <c r="R332" s="32"/>
      <c r="S332" s="32">
        <f t="shared" si="5"/>
        <v>0</v>
      </c>
      <c r="T332" s="32">
        <v>0</v>
      </c>
      <c r="U332" s="32"/>
      <c r="V332" s="32"/>
      <c r="W332" s="32"/>
      <c r="X332" s="32"/>
      <c r="Y332" s="32"/>
      <c r="Z332" s="32"/>
      <c r="AA332" s="32"/>
    </row>
    <row r="333" spans="14:27">
      <c r="N333" s="32"/>
      <c r="O333" s="32"/>
      <c r="P333" s="32"/>
      <c r="Q333" s="32"/>
      <c r="R333" s="32"/>
      <c r="S333" s="32">
        <f t="shared" si="5"/>
        <v>0</v>
      </c>
      <c r="T333" s="32">
        <v>0</v>
      </c>
      <c r="U333" s="32"/>
      <c r="V333" s="32"/>
      <c r="W333" s="32"/>
      <c r="X333" s="32"/>
      <c r="Y333" s="32"/>
      <c r="Z333" s="32"/>
      <c r="AA333" s="32"/>
    </row>
    <row r="334" spans="14:27">
      <c r="N334" s="32"/>
      <c r="O334" s="32"/>
      <c r="P334" s="32"/>
      <c r="Q334" s="32"/>
      <c r="R334" s="32"/>
      <c r="S334" s="32">
        <f t="shared" si="5"/>
        <v>0</v>
      </c>
      <c r="T334" s="32">
        <v>0</v>
      </c>
      <c r="U334" s="32"/>
      <c r="V334" s="32"/>
      <c r="W334" s="32"/>
      <c r="X334" s="32"/>
      <c r="Y334" s="32"/>
      <c r="Z334" s="32"/>
      <c r="AA334" s="32"/>
    </row>
    <row r="335" spans="14:27">
      <c r="N335" s="32"/>
      <c r="O335" s="32"/>
      <c r="P335" s="32"/>
      <c r="Q335" s="32"/>
      <c r="R335" s="32"/>
      <c r="S335" s="32">
        <f t="shared" si="5"/>
        <v>0</v>
      </c>
      <c r="T335" s="32">
        <v>0</v>
      </c>
      <c r="U335" s="32"/>
      <c r="V335" s="32"/>
      <c r="W335" s="32"/>
      <c r="X335" s="32"/>
      <c r="Y335" s="32"/>
      <c r="Z335" s="32"/>
      <c r="AA335" s="32"/>
    </row>
    <row r="336" spans="14:27">
      <c r="N336" s="32"/>
      <c r="O336" s="32"/>
      <c r="P336" s="32"/>
      <c r="Q336" s="32"/>
      <c r="R336" s="32"/>
      <c r="S336" s="32">
        <f t="shared" si="5"/>
        <v>0</v>
      </c>
      <c r="T336" s="32">
        <v>0</v>
      </c>
      <c r="U336" s="32"/>
      <c r="V336" s="32"/>
      <c r="W336" s="32"/>
      <c r="X336" s="32"/>
      <c r="Y336" s="32"/>
      <c r="Z336" s="32"/>
      <c r="AA336" s="32"/>
    </row>
    <row r="337" spans="14:27">
      <c r="N337" s="32"/>
      <c r="O337" s="32"/>
      <c r="P337" s="32"/>
      <c r="Q337" s="32"/>
      <c r="R337" s="32"/>
      <c r="S337" s="32">
        <f t="shared" si="5"/>
        <v>0</v>
      </c>
      <c r="T337" s="32">
        <v>0</v>
      </c>
      <c r="U337" s="32"/>
      <c r="V337" s="32"/>
      <c r="W337" s="32"/>
      <c r="X337" s="32"/>
      <c r="Y337" s="32"/>
      <c r="Z337" s="32"/>
      <c r="AA337" s="32"/>
    </row>
    <row r="338" spans="14:27">
      <c r="N338" s="32"/>
      <c r="O338" s="32"/>
      <c r="P338" s="32"/>
      <c r="Q338" s="32"/>
      <c r="R338" s="32"/>
      <c r="S338" s="32">
        <f t="shared" si="5"/>
        <v>0</v>
      </c>
      <c r="T338" s="32">
        <v>0</v>
      </c>
      <c r="U338" s="32"/>
      <c r="V338" s="32"/>
      <c r="W338" s="32"/>
      <c r="X338" s="32"/>
      <c r="Y338" s="32"/>
      <c r="Z338" s="32"/>
      <c r="AA338" s="32"/>
    </row>
    <row r="339" spans="14:27">
      <c r="N339" s="32"/>
      <c r="O339" s="32"/>
      <c r="P339" s="32"/>
      <c r="Q339" s="32"/>
      <c r="R339" s="32"/>
      <c r="S339" s="32">
        <f t="shared" si="5"/>
        <v>0</v>
      </c>
      <c r="T339" s="32">
        <v>0</v>
      </c>
      <c r="U339" s="32"/>
      <c r="V339" s="32"/>
      <c r="W339" s="32"/>
      <c r="X339" s="32"/>
      <c r="Y339" s="32"/>
      <c r="Z339" s="32"/>
      <c r="AA339" s="32"/>
    </row>
    <row r="340" spans="14:27">
      <c r="N340" s="32"/>
      <c r="O340" s="32"/>
      <c r="P340" s="32"/>
      <c r="Q340" s="32"/>
      <c r="R340" s="32"/>
      <c r="S340" s="32">
        <f t="shared" si="5"/>
        <v>0</v>
      </c>
      <c r="T340" s="32">
        <v>0</v>
      </c>
      <c r="U340" s="32"/>
      <c r="V340" s="32"/>
      <c r="W340" s="32"/>
      <c r="X340" s="32"/>
      <c r="Y340" s="32"/>
      <c r="Z340" s="32"/>
      <c r="AA340" s="32"/>
    </row>
    <row r="341" spans="14:27">
      <c r="N341" s="32"/>
      <c r="O341" s="32"/>
      <c r="P341" s="32"/>
      <c r="Q341" s="32"/>
      <c r="R341" s="32"/>
      <c r="S341" s="32">
        <f t="shared" si="5"/>
        <v>0</v>
      </c>
      <c r="T341" s="32">
        <v>0</v>
      </c>
      <c r="U341" s="32"/>
      <c r="V341" s="32"/>
      <c r="W341" s="32"/>
      <c r="X341" s="32"/>
      <c r="Y341" s="32"/>
      <c r="Z341" s="32"/>
      <c r="AA341" s="32"/>
    </row>
    <row r="342" spans="14:27">
      <c r="N342" s="32"/>
      <c r="O342" s="32"/>
      <c r="P342" s="32"/>
      <c r="Q342" s="32"/>
      <c r="R342" s="32"/>
      <c r="S342" s="32">
        <f t="shared" si="5"/>
        <v>0</v>
      </c>
      <c r="T342" s="32">
        <v>0</v>
      </c>
      <c r="U342" s="32"/>
      <c r="V342" s="32"/>
      <c r="W342" s="32"/>
      <c r="X342" s="32"/>
      <c r="Y342" s="32"/>
      <c r="Z342" s="32"/>
      <c r="AA342" s="32"/>
    </row>
    <row r="343" spans="14:27">
      <c r="N343" s="32"/>
      <c r="O343" s="32"/>
      <c r="P343" s="32"/>
      <c r="Q343" s="32"/>
      <c r="R343" s="32"/>
      <c r="S343" s="32">
        <f t="shared" si="5"/>
        <v>0</v>
      </c>
      <c r="T343" s="32">
        <v>0</v>
      </c>
      <c r="U343" s="32"/>
      <c r="V343" s="32"/>
      <c r="W343" s="32"/>
      <c r="X343" s="32"/>
      <c r="Y343" s="32"/>
      <c r="Z343" s="32"/>
      <c r="AA343" s="32"/>
    </row>
    <row r="344" spans="14:27">
      <c r="N344" s="32"/>
      <c r="O344" s="32"/>
      <c r="P344" s="32"/>
      <c r="Q344" s="32"/>
      <c r="R344" s="32"/>
      <c r="S344" s="32">
        <f t="shared" si="5"/>
        <v>0</v>
      </c>
      <c r="T344" s="32">
        <v>0</v>
      </c>
      <c r="U344" s="32"/>
      <c r="V344" s="32"/>
      <c r="W344" s="32"/>
      <c r="X344" s="32"/>
      <c r="Y344" s="32"/>
      <c r="Z344" s="32"/>
      <c r="AA344" s="32"/>
    </row>
    <row r="345" spans="14:27">
      <c r="N345" s="32"/>
      <c r="O345" s="32"/>
      <c r="P345" s="32"/>
      <c r="Q345" s="32"/>
      <c r="R345" s="32"/>
      <c r="S345" s="32">
        <f t="shared" si="5"/>
        <v>0</v>
      </c>
      <c r="T345" s="32">
        <v>0</v>
      </c>
      <c r="U345" s="32"/>
      <c r="V345" s="32"/>
      <c r="W345" s="32"/>
      <c r="X345" s="32"/>
      <c r="Y345" s="32"/>
      <c r="Z345" s="32"/>
      <c r="AA345" s="32"/>
    </row>
    <row r="346" spans="14:27">
      <c r="N346" s="32"/>
      <c r="O346" s="32"/>
      <c r="P346" s="32"/>
      <c r="Q346" s="32"/>
      <c r="R346" s="32"/>
      <c r="S346" s="32">
        <f t="shared" si="5"/>
        <v>0</v>
      </c>
      <c r="T346" s="32">
        <v>0</v>
      </c>
      <c r="U346" s="32"/>
      <c r="V346" s="32"/>
      <c r="W346" s="32"/>
      <c r="X346" s="32"/>
      <c r="Y346" s="32"/>
      <c r="Z346" s="32"/>
      <c r="AA346" s="32"/>
    </row>
    <row r="347" spans="14:27">
      <c r="N347" s="32"/>
      <c r="O347" s="32"/>
      <c r="P347" s="32"/>
      <c r="Q347" s="32"/>
      <c r="R347" s="32"/>
      <c r="S347" s="32">
        <f t="shared" si="5"/>
        <v>0</v>
      </c>
      <c r="T347" s="32">
        <v>0</v>
      </c>
      <c r="U347" s="32"/>
      <c r="V347" s="32"/>
      <c r="W347" s="32"/>
      <c r="X347" s="32"/>
      <c r="Y347" s="32"/>
      <c r="Z347" s="32"/>
      <c r="AA347" s="32"/>
    </row>
    <row r="348" spans="14:27">
      <c r="N348" s="32"/>
      <c r="O348" s="32"/>
      <c r="P348" s="32"/>
      <c r="Q348" s="32"/>
      <c r="R348" s="32"/>
      <c r="S348" s="32">
        <f t="shared" si="5"/>
        <v>0</v>
      </c>
      <c r="T348" s="32">
        <v>0</v>
      </c>
      <c r="U348" s="32"/>
      <c r="V348" s="32"/>
      <c r="W348" s="32"/>
      <c r="X348" s="32"/>
      <c r="Y348" s="32"/>
      <c r="Z348" s="32"/>
      <c r="AA348" s="32"/>
    </row>
    <row r="349" spans="14:27">
      <c r="N349" s="32"/>
      <c r="O349" s="32"/>
      <c r="P349" s="32"/>
      <c r="Q349" s="32"/>
      <c r="R349" s="32"/>
      <c r="S349" s="32">
        <f t="shared" si="5"/>
        <v>0</v>
      </c>
      <c r="T349" s="32">
        <v>0</v>
      </c>
      <c r="U349" s="32"/>
      <c r="V349" s="32"/>
      <c r="W349" s="32"/>
      <c r="X349" s="32"/>
      <c r="Y349" s="32"/>
      <c r="Z349" s="32"/>
      <c r="AA349" s="32"/>
    </row>
    <row r="350" spans="14:27">
      <c r="N350" s="32"/>
      <c r="O350" s="32"/>
      <c r="P350" s="32"/>
      <c r="Q350" s="32"/>
      <c r="R350" s="32"/>
      <c r="S350" s="32">
        <f t="shared" si="5"/>
        <v>0</v>
      </c>
      <c r="T350" s="32">
        <v>0</v>
      </c>
      <c r="U350" s="32"/>
      <c r="V350" s="32"/>
      <c r="W350" s="32"/>
      <c r="X350" s="32"/>
      <c r="Y350" s="32"/>
      <c r="Z350" s="32"/>
      <c r="AA350" s="32"/>
    </row>
    <row r="351" spans="14:27">
      <c r="N351" s="32"/>
      <c r="O351" s="32"/>
      <c r="P351" s="32"/>
      <c r="Q351" s="32"/>
      <c r="R351" s="32"/>
      <c r="S351" s="32">
        <f t="shared" si="5"/>
        <v>0</v>
      </c>
      <c r="T351" s="32">
        <v>0</v>
      </c>
      <c r="U351" s="32"/>
      <c r="V351" s="32"/>
      <c r="W351" s="32"/>
      <c r="X351" s="32"/>
      <c r="Y351" s="32"/>
      <c r="Z351" s="32"/>
      <c r="AA351" s="32"/>
    </row>
    <row r="352" spans="14:27">
      <c r="N352" s="32"/>
      <c r="O352" s="32"/>
      <c r="P352" s="32"/>
      <c r="Q352" s="32"/>
      <c r="R352" s="32"/>
      <c r="S352" s="32">
        <f t="shared" si="5"/>
        <v>0</v>
      </c>
      <c r="T352" s="32">
        <v>0</v>
      </c>
      <c r="U352" s="32"/>
      <c r="V352" s="32"/>
      <c r="W352" s="32"/>
      <c r="X352" s="32"/>
      <c r="Y352" s="32"/>
      <c r="Z352" s="32"/>
      <c r="AA352" s="32"/>
    </row>
    <row r="353" spans="14:27">
      <c r="N353" s="32"/>
      <c r="O353" s="32"/>
      <c r="P353" s="32"/>
      <c r="Q353" s="32"/>
      <c r="R353" s="32"/>
      <c r="S353" s="32">
        <f t="shared" si="5"/>
        <v>0</v>
      </c>
      <c r="T353" s="32">
        <v>0</v>
      </c>
      <c r="U353" s="32"/>
      <c r="V353" s="32"/>
      <c r="W353" s="32"/>
      <c r="X353" s="32"/>
      <c r="Y353" s="32"/>
      <c r="Z353" s="32"/>
      <c r="AA353" s="32"/>
    </row>
    <row r="354" spans="14:27">
      <c r="N354" s="32"/>
      <c r="O354" s="32"/>
      <c r="P354" s="32"/>
      <c r="Q354" s="32"/>
      <c r="R354" s="32"/>
      <c r="S354" s="32">
        <f t="shared" si="5"/>
        <v>0</v>
      </c>
      <c r="T354" s="32">
        <v>0</v>
      </c>
      <c r="U354" s="32"/>
      <c r="V354" s="32"/>
      <c r="W354" s="32"/>
      <c r="X354" s="32"/>
      <c r="Y354" s="32"/>
      <c r="Z354" s="32"/>
      <c r="AA354" s="32"/>
    </row>
    <row r="355" spans="14:27">
      <c r="N355" s="32"/>
      <c r="O355" s="32"/>
      <c r="P355" s="32"/>
      <c r="Q355" s="32"/>
      <c r="R355" s="32"/>
      <c r="S355" s="32">
        <f t="shared" si="5"/>
        <v>0</v>
      </c>
      <c r="T355" s="32">
        <v>0</v>
      </c>
      <c r="U355" s="32"/>
      <c r="V355" s="32"/>
      <c r="W355" s="32"/>
      <c r="X355" s="32"/>
      <c r="Y355" s="32"/>
      <c r="Z355" s="32"/>
      <c r="AA355" s="32"/>
    </row>
    <row r="356" spans="14:27">
      <c r="N356" s="32"/>
      <c r="O356" s="32"/>
      <c r="P356" s="32"/>
      <c r="Q356" s="32"/>
      <c r="R356" s="32"/>
      <c r="S356" s="32">
        <f t="shared" si="5"/>
        <v>0</v>
      </c>
      <c r="T356" s="32">
        <v>0</v>
      </c>
      <c r="U356" s="32"/>
      <c r="V356" s="32"/>
      <c r="W356" s="32"/>
      <c r="X356" s="32"/>
      <c r="Y356" s="32"/>
      <c r="Z356" s="32"/>
      <c r="AA356" s="32"/>
    </row>
    <row r="357" spans="14:27">
      <c r="N357" s="32"/>
      <c r="O357" s="32"/>
      <c r="P357" s="32"/>
      <c r="Q357" s="32"/>
      <c r="R357" s="32"/>
      <c r="S357" s="32">
        <f t="shared" si="5"/>
        <v>0</v>
      </c>
      <c r="T357" s="32">
        <v>0</v>
      </c>
      <c r="U357" s="32"/>
      <c r="V357" s="32"/>
      <c r="W357" s="32"/>
      <c r="X357" s="32"/>
      <c r="Y357" s="32"/>
      <c r="Z357" s="32"/>
      <c r="AA357" s="32"/>
    </row>
    <row r="358" spans="14:27">
      <c r="N358" s="32"/>
      <c r="O358" s="32"/>
      <c r="P358" s="32"/>
      <c r="Q358" s="32"/>
      <c r="R358" s="32"/>
      <c r="S358" s="32">
        <f t="shared" si="5"/>
        <v>0</v>
      </c>
      <c r="T358" s="32">
        <v>0</v>
      </c>
      <c r="U358" s="32"/>
      <c r="V358" s="32"/>
      <c r="W358" s="32"/>
      <c r="X358" s="32"/>
      <c r="Y358" s="32"/>
      <c r="Z358" s="32"/>
      <c r="AA358" s="32"/>
    </row>
    <row r="359" spans="14:27">
      <c r="N359" s="32"/>
      <c r="O359" s="32"/>
      <c r="P359" s="32"/>
      <c r="Q359" s="32"/>
      <c r="R359" s="32"/>
      <c r="S359" s="32">
        <f t="shared" si="5"/>
        <v>0</v>
      </c>
      <c r="T359" s="32">
        <v>0</v>
      </c>
      <c r="U359" s="32"/>
      <c r="V359" s="32"/>
      <c r="W359" s="32"/>
      <c r="X359" s="32"/>
      <c r="Y359" s="32"/>
      <c r="Z359" s="32"/>
      <c r="AA359" s="32"/>
    </row>
    <row r="360" spans="14:27">
      <c r="N360" s="32"/>
      <c r="O360" s="32"/>
      <c r="P360" s="32"/>
      <c r="Q360" s="32"/>
      <c r="R360" s="32"/>
      <c r="S360" s="32">
        <f t="shared" si="5"/>
        <v>0</v>
      </c>
      <c r="T360" s="32">
        <v>0</v>
      </c>
      <c r="U360" s="32"/>
      <c r="V360" s="32"/>
      <c r="W360" s="32"/>
      <c r="X360" s="32"/>
      <c r="Y360" s="32"/>
      <c r="Z360" s="32"/>
      <c r="AA360" s="32"/>
    </row>
    <row r="361" spans="14:27">
      <c r="N361" s="32"/>
      <c r="O361" s="32"/>
      <c r="P361" s="32"/>
      <c r="Q361" s="32"/>
      <c r="R361" s="32"/>
      <c r="S361" s="32">
        <f t="shared" si="5"/>
        <v>0</v>
      </c>
      <c r="T361" s="32">
        <v>0</v>
      </c>
      <c r="U361" s="32"/>
      <c r="V361" s="32"/>
      <c r="W361" s="32"/>
      <c r="X361" s="32"/>
      <c r="Y361" s="32"/>
      <c r="Z361" s="32"/>
      <c r="AA361" s="32"/>
    </row>
    <row r="362" spans="14:27">
      <c r="N362" s="32"/>
      <c r="O362" s="32"/>
      <c r="P362" s="32"/>
      <c r="Q362" s="32"/>
      <c r="R362" s="32"/>
      <c r="S362" s="32">
        <f t="shared" si="5"/>
        <v>0</v>
      </c>
      <c r="T362" s="32">
        <v>0</v>
      </c>
      <c r="U362" s="32"/>
      <c r="V362" s="32"/>
      <c r="W362" s="32"/>
      <c r="X362" s="32"/>
      <c r="Y362" s="32"/>
      <c r="Z362" s="32"/>
      <c r="AA362" s="32"/>
    </row>
    <row r="363" spans="14:27">
      <c r="N363" s="32"/>
      <c r="O363" s="32"/>
      <c r="P363" s="32"/>
      <c r="Q363" s="32"/>
      <c r="R363" s="32"/>
      <c r="S363" s="32">
        <f t="shared" si="5"/>
        <v>0</v>
      </c>
      <c r="T363" s="32">
        <v>0</v>
      </c>
      <c r="U363" s="32"/>
      <c r="V363" s="32"/>
      <c r="W363" s="32"/>
      <c r="X363" s="32"/>
      <c r="Y363" s="32"/>
      <c r="Z363" s="32"/>
      <c r="AA363" s="32"/>
    </row>
    <row r="364" spans="14:27">
      <c r="N364" s="32"/>
      <c r="O364" s="32"/>
      <c r="P364" s="32"/>
      <c r="Q364" s="32"/>
      <c r="R364" s="32"/>
      <c r="S364" s="32">
        <f t="shared" si="5"/>
        <v>0</v>
      </c>
      <c r="T364" s="32">
        <v>0</v>
      </c>
      <c r="U364" s="32"/>
      <c r="V364" s="32"/>
      <c r="W364" s="32"/>
      <c r="X364" s="32"/>
      <c r="Y364" s="32"/>
      <c r="Z364" s="32"/>
      <c r="AA364" s="32"/>
    </row>
    <row r="365" spans="14:27">
      <c r="N365" s="32"/>
      <c r="O365" s="32"/>
      <c r="P365" s="32"/>
      <c r="Q365" s="32"/>
      <c r="R365" s="32"/>
      <c r="S365" s="32">
        <f t="shared" si="5"/>
        <v>0</v>
      </c>
      <c r="T365" s="32">
        <v>0</v>
      </c>
      <c r="U365" s="32"/>
      <c r="V365" s="32"/>
      <c r="W365" s="32"/>
      <c r="X365" s="32"/>
      <c r="Y365" s="32"/>
      <c r="Z365" s="32"/>
      <c r="AA365" s="32"/>
    </row>
    <row r="366" spans="14:27">
      <c r="N366" s="32"/>
      <c r="O366" s="32"/>
      <c r="P366" s="32"/>
      <c r="Q366" s="32"/>
      <c r="R366" s="32"/>
      <c r="S366" s="32">
        <f t="shared" si="5"/>
        <v>0</v>
      </c>
      <c r="T366" s="32">
        <v>0</v>
      </c>
      <c r="U366" s="32"/>
      <c r="V366" s="32"/>
      <c r="W366" s="32"/>
      <c r="X366" s="32"/>
      <c r="Y366" s="32"/>
      <c r="Z366" s="32"/>
      <c r="AA366" s="32"/>
    </row>
    <row r="367" spans="14:27">
      <c r="N367" s="32"/>
      <c r="O367" s="32"/>
      <c r="P367" s="32"/>
      <c r="Q367" s="32"/>
      <c r="R367" s="32"/>
      <c r="S367" s="32">
        <f t="shared" si="5"/>
        <v>0</v>
      </c>
      <c r="T367" s="32">
        <v>0</v>
      </c>
      <c r="U367" s="32"/>
      <c r="V367" s="32"/>
      <c r="W367" s="32"/>
      <c r="X367" s="32"/>
      <c r="Y367" s="32"/>
      <c r="Z367" s="32"/>
      <c r="AA367" s="32"/>
    </row>
    <row r="368" spans="14:27">
      <c r="N368" s="32"/>
      <c r="O368" s="32"/>
      <c r="P368" s="32"/>
      <c r="Q368" s="32"/>
      <c r="R368" s="32"/>
      <c r="S368" s="32">
        <f t="shared" si="5"/>
        <v>0</v>
      </c>
      <c r="T368" s="32">
        <v>0</v>
      </c>
      <c r="U368" s="32"/>
      <c r="V368" s="32"/>
      <c r="W368" s="32"/>
      <c r="X368" s="32"/>
      <c r="Y368" s="32"/>
      <c r="Z368" s="32"/>
      <c r="AA368" s="32"/>
    </row>
    <row r="369" spans="14:27">
      <c r="N369" s="32"/>
      <c r="O369" s="32"/>
      <c r="P369" s="32"/>
      <c r="Q369" s="32"/>
      <c r="R369" s="32"/>
      <c r="S369" s="32">
        <f t="shared" si="5"/>
        <v>0</v>
      </c>
      <c r="T369" s="32">
        <v>0</v>
      </c>
      <c r="U369" s="32"/>
      <c r="V369" s="32"/>
      <c r="W369" s="32"/>
      <c r="X369" s="32"/>
      <c r="Y369" s="32"/>
      <c r="Z369" s="32"/>
      <c r="AA369" s="32"/>
    </row>
    <row r="370" spans="14:27">
      <c r="N370" s="32"/>
      <c r="O370" s="32"/>
      <c r="P370" s="32"/>
      <c r="Q370" s="32"/>
      <c r="R370" s="32"/>
      <c r="S370" s="32">
        <f t="shared" si="5"/>
        <v>0</v>
      </c>
      <c r="T370" s="32">
        <v>0</v>
      </c>
      <c r="U370" s="32"/>
      <c r="V370" s="32"/>
      <c r="W370" s="32"/>
      <c r="X370" s="32"/>
      <c r="Y370" s="32"/>
      <c r="Z370" s="32"/>
      <c r="AA370" s="32"/>
    </row>
    <row r="371" spans="14:27">
      <c r="N371" s="32"/>
      <c r="O371" s="32"/>
      <c r="P371" s="32"/>
      <c r="Q371" s="32"/>
      <c r="R371" s="32"/>
      <c r="S371" s="32">
        <f t="shared" si="5"/>
        <v>0</v>
      </c>
      <c r="T371" s="32">
        <v>0</v>
      </c>
      <c r="U371" s="32"/>
      <c r="V371" s="32"/>
      <c r="W371" s="32"/>
      <c r="X371" s="32"/>
      <c r="Y371" s="32"/>
      <c r="Z371" s="32"/>
      <c r="AA371" s="32"/>
    </row>
    <row r="372" spans="14:27">
      <c r="N372" s="32"/>
      <c r="O372" s="32"/>
      <c r="P372" s="32"/>
      <c r="Q372" s="32"/>
      <c r="R372" s="32"/>
      <c r="S372" s="32">
        <f t="shared" si="5"/>
        <v>0</v>
      </c>
      <c r="T372" s="32">
        <v>0</v>
      </c>
      <c r="U372" s="32"/>
      <c r="V372" s="32"/>
      <c r="W372" s="32"/>
      <c r="X372" s="32"/>
      <c r="Y372" s="32"/>
      <c r="Z372" s="32"/>
      <c r="AA372" s="32"/>
    </row>
    <row r="373" spans="14:27">
      <c r="N373" s="32"/>
      <c r="O373" s="32"/>
      <c r="P373" s="32"/>
      <c r="Q373" s="32"/>
      <c r="R373" s="32"/>
      <c r="S373" s="32">
        <f t="shared" si="5"/>
        <v>0</v>
      </c>
      <c r="T373" s="32">
        <v>0</v>
      </c>
      <c r="U373" s="32"/>
      <c r="V373" s="32"/>
      <c r="W373" s="32"/>
      <c r="X373" s="32"/>
      <c r="Y373" s="32"/>
      <c r="Z373" s="32"/>
      <c r="AA373" s="32"/>
    </row>
    <row r="374" spans="14:27">
      <c r="N374" s="32"/>
      <c r="O374" s="32"/>
      <c r="P374" s="32"/>
      <c r="Q374" s="32"/>
      <c r="R374" s="32"/>
      <c r="S374" s="32">
        <f t="shared" si="5"/>
        <v>0</v>
      </c>
      <c r="T374" s="32">
        <v>0</v>
      </c>
      <c r="U374" s="32"/>
      <c r="V374" s="32"/>
      <c r="W374" s="32"/>
      <c r="X374" s="32"/>
      <c r="Y374" s="32"/>
      <c r="Z374" s="32"/>
      <c r="AA374" s="32"/>
    </row>
    <row r="375" spans="14:27">
      <c r="N375" s="32"/>
      <c r="O375" s="32"/>
      <c r="P375" s="32"/>
      <c r="Q375" s="32"/>
      <c r="R375" s="32"/>
      <c r="S375" s="32">
        <f t="shared" si="5"/>
        <v>0</v>
      </c>
      <c r="T375" s="32">
        <v>0</v>
      </c>
      <c r="U375" s="32"/>
      <c r="V375" s="32"/>
      <c r="W375" s="32"/>
      <c r="X375" s="32"/>
      <c r="Y375" s="32"/>
      <c r="Z375" s="32"/>
      <c r="AA375" s="32"/>
    </row>
    <row r="376" spans="14:27">
      <c r="N376" s="32"/>
      <c r="O376" s="32"/>
      <c r="P376" s="32"/>
      <c r="Q376" s="32"/>
      <c r="R376" s="32"/>
      <c r="S376" s="32">
        <f t="shared" si="5"/>
        <v>0</v>
      </c>
      <c r="T376" s="32">
        <v>0</v>
      </c>
      <c r="U376" s="32"/>
      <c r="V376" s="32"/>
      <c r="W376" s="32"/>
      <c r="X376" s="32"/>
      <c r="Y376" s="32"/>
      <c r="Z376" s="32"/>
      <c r="AA376" s="32"/>
    </row>
    <row r="377" spans="14:27">
      <c r="N377" s="32"/>
      <c r="O377" s="32"/>
      <c r="P377" s="32"/>
      <c r="Q377" s="32"/>
      <c r="R377" s="32"/>
      <c r="S377" s="32">
        <f t="shared" si="5"/>
        <v>0</v>
      </c>
      <c r="T377" s="32">
        <v>0</v>
      </c>
      <c r="U377" s="32"/>
      <c r="V377" s="32"/>
      <c r="W377" s="32"/>
      <c r="X377" s="32"/>
      <c r="Y377" s="32"/>
      <c r="Z377" s="32"/>
      <c r="AA377" s="32"/>
    </row>
    <row r="378" spans="14:27">
      <c r="N378" s="32"/>
      <c r="O378" s="32"/>
      <c r="P378" s="32"/>
      <c r="Q378" s="32"/>
      <c r="R378" s="32"/>
      <c r="S378" s="32">
        <f t="shared" si="5"/>
        <v>0</v>
      </c>
      <c r="T378" s="32">
        <v>0</v>
      </c>
      <c r="U378" s="32"/>
      <c r="V378" s="32"/>
      <c r="W378" s="32"/>
      <c r="X378" s="32"/>
      <c r="Y378" s="32"/>
      <c r="Z378" s="32"/>
      <c r="AA378" s="32"/>
    </row>
    <row r="379" spans="14:27">
      <c r="N379" s="32"/>
      <c r="O379" s="32"/>
      <c r="P379" s="32"/>
      <c r="Q379" s="32"/>
      <c r="R379" s="32"/>
      <c r="S379" s="32">
        <f t="shared" si="5"/>
        <v>0</v>
      </c>
      <c r="T379" s="32">
        <v>0</v>
      </c>
      <c r="U379" s="32"/>
      <c r="V379" s="32"/>
      <c r="W379" s="32"/>
      <c r="X379" s="32"/>
      <c r="Y379" s="32"/>
      <c r="Z379" s="32"/>
      <c r="AA379" s="32"/>
    </row>
    <row r="380" spans="14:27">
      <c r="N380" s="32"/>
      <c r="O380" s="32"/>
      <c r="P380" s="32"/>
      <c r="Q380" s="32"/>
      <c r="R380" s="32"/>
      <c r="S380" s="32">
        <f t="shared" si="5"/>
        <v>0</v>
      </c>
      <c r="T380" s="32">
        <v>0</v>
      </c>
      <c r="U380" s="32"/>
      <c r="V380" s="32"/>
      <c r="W380" s="32"/>
      <c r="X380" s="32"/>
      <c r="Y380" s="32"/>
      <c r="Z380" s="32"/>
      <c r="AA380" s="32"/>
    </row>
    <row r="381" spans="14:27">
      <c r="N381" s="32"/>
      <c r="O381" s="32"/>
      <c r="P381" s="32"/>
      <c r="Q381" s="32"/>
      <c r="R381" s="32"/>
      <c r="S381" s="32">
        <f t="shared" si="5"/>
        <v>0</v>
      </c>
      <c r="T381" s="32">
        <v>0</v>
      </c>
      <c r="U381" s="32"/>
      <c r="V381" s="32"/>
      <c r="W381" s="32"/>
      <c r="X381" s="32"/>
      <c r="Y381" s="32"/>
      <c r="Z381" s="32"/>
      <c r="AA381" s="32"/>
    </row>
    <row r="382" spans="14:27">
      <c r="N382" s="32"/>
      <c r="O382" s="32"/>
      <c r="P382" s="32"/>
      <c r="Q382" s="32"/>
      <c r="R382" s="32"/>
      <c r="S382" s="32">
        <f t="shared" si="5"/>
        <v>0</v>
      </c>
      <c r="T382" s="32">
        <v>0</v>
      </c>
      <c r="U382" s="32"/>
      <c r="V382" s="32"/>
      <c r="W382" s="32"/>
      <c r="X382" s="32"/>
      <c r="Y382" s="32"/>
      <c r="Z382" s="32"/>
      <c r="AA382" s="32"/>
    </row>
    <row r="383" spans="14:27">
      <c r="N383" s="32"/>
      <c r="O383" s="32"/>
      <c r="P383" s="32"/>
      <c r="Q383" s="32"/>
      <c r="R383" s="32"/>
      <c r="S383" s="32">
        <f t="shared" si="5"/>
        <v>0</v>
      </c>
      <c r="T383" s="32">
        <v>0</v>
      </c>
      <c r="U383" s="32"/>
      <c r="V383" s="32"/>
      <c r="W383" s="32"/>
      <c r="X383" s="32"/>
      <c r="Y383" s="32"/>
      <c r="Z383" s="32"/>
      <c r="AA383" s="32"/>
    </row>
    <row r="384" spans="14:27">
      <c r="N384" s="32"/>
      <c r="O384" s="32"/>
      <c r="P384" s="32"/>
      <c r="Q384" s="32"/>
      <c r="R384" s="32"/>
      <c r="S384" s="32">
        <f t="shared" si="5"/>
        <v>0</v>
      </c>
      <c r="T384" s="32">
        <v>0</v>
      </c>
      <c r="U384" s="32"/>
      <c r="V384" s="32"/>
      <c r="W384" s="32"/>
      <c r="X384" s="32"/>
      <c r="Y384" s="32"/>
      <c r="Z384" s="32"/>
      <c r="AA384" s="32"/>
    </row>
    <row r="385" spans="14:27">
      <c r="N385" s="32"/>
      <c r="O385" s="32"/>
      <c r="P385" s="32"/>
      <c r="Q385" s="32"/>
      <c r="R385" s="32"/>
      <c r="S385" s="32">
        <f t="shared" si="5"/>
        <v>0</v>
      </c>
      <c r="T385" s="32">
        <v>0</v>
      </c>
      <c r="U385" s="32"/>
      <c r="V385" s="32"/>
      <c r="W385" s="32"/>
      <c r="X385" s="32"/>
      <c r="Y385" s="32"/>
      <c r="Z385" s="32"/>
      <c r="AA385" s="32"/>
    </row>
    <row r="386" spans="14:27">
      <c r="N386" s="32"/>
      <c r="O386" s="32"/>
      <c r="P386" s="32"/>
      <c r="Q386" s="32"/>
      <c r="R386" s="32"/>
      <c r="S386" s="32">
        <f t="shared" si="5"/>
        <v>0</v>
      </c>
      <c r="T386" s="32">
        <v>0</v>
      </c>
      <c r="U386" s="32"/>
      <c r="V386" s="32"/>
      <c r="W386" s="32"/>
      <c r="X386" s="32"/>
      <c r="Y386" s="32"/>
      <c r="Z386" s="32"/>
      <c r="AA386" s="32"/>
    </row>
    <row r="387" spans="14:27">
      <c r="N387" s="32"/>
      <c r="O387" s="32"/>
      <c r="P387" s="32"/>
      <c r="Q387" s="32"/>
      <c r="R387" s="32"/>
      <c r="S387" s="32">
        <f t="shared" si="5"/>
        <v>0</v>
      </c>
      <c r="T387" s="32">
        <v>0</v>
      </c>
      <c r="U387" s="32"/>
      <c r="V387" s="32"/>
      <c r="W387" s="32"/>
      <c r="X387" s="32"/>
      <c r="Y387" s="32"/>
      <c r="Z387" s="32"/>
      <c r="AA387" s="32"/>
    </row>
    <row r="388" spans="14:27">
      <c r="N388" s="32"/>
      <c r="O388" s="32"/>
      <c r="P388" s="32"/>
      <c r="Q388" s="32"/>
      <c r="R388" s="32"/>
      <c r="S388" s="32">
        <f t="shared" si="5"/>
        <v>0</v>
      </c>
      <c r="T388" s="32">
        <v>0</v>
      </c>
      <c r="U388" s="32"/>
      <c r="V388" s="32"/>
      <c r="W388" s="32"/>
      <c r="X388" s="32"/>
      <c r="Y388" s="32"/>
      <c r="Z388" s="32"/>
      <c r="AA388" s="32"/>
    </row>
    <row r="389" spans="14:27">
      <c r="N389" s="32"/>
      <c r="O389" s="32"/>
      <c r="P389" s="32"/>
      <c r="Q389" s="32"/>
      <c r="R389" s="32"/>
      <c r="S389" s="32">
        <f t="shared" si="5"/>
        <v>0</v>
      </c>
      <c r="T389" s="32">
        <v>0</v>
      </c>
      <c r="U389" s="32"/>
      <c r="V389" s="32"/>
      <c r="W389" s="32"/>
      <c r="X389" s="32"/>
      <c r="Y389" s="32"/>
      <c r="Z389" s="32"/>
      <c r="AA389" s="32"/>
    </row>
    <row r="390" spans="14:27">
      <c r="N390" s="32"/>
      <c r="O390" s="32"/>
      <c r="P390" s="32"/>
      <c r="Q390" s="32"/>
      <c r="R390" s="32"/>
      <c r="S390" s="32">
        <f t="shared" si="5"/>
        <v>0</v>
      </c>
      <c r="T390" s="32">
        <v>0</v>
      </c>
      <c r="U390" s="32"/>
      <c r="V390" s="32"/>
      <c r="W390" s="32"/>
      <c r="X390" s="32"/>
      <c r="Y390" s="32"/>
      <c r="Z390" s="32"/>
      <c r="AA390" s="32"/>
    </row>
    <row r="391" spans="14:27">
      <c r="N391" s="32"/>
      <c r="O391" s="32"/>
      <c r="P391" s="32"/>
      <c r="Q391" s="32"/>
      <c r="R391" s="32"/>
      <c r="S391" s="32">
        <f t="shared" si="5"/>
        <v>0</v>
      </c>
      <c r="T391" s="32">
        <v>0</v>
      </c>
      <c r="U391" s="32"/>
      <c r="V391" s="32"/>
      <c r="W391" s="32"/>
      <c r="X391" s="32"/>
      <c r="Y391" s="32"/>
      <c r="Z391" s="32"/>
      <c r="AA391" s="32"/>
    </row>
    <row r="392" spans="14:27">
      <c r="N392" s="32"/>
      <c r="O392" s="32"/>
      <c r="P392" s="32"/>
      <c r="Q392" s="32"/>
      <c r="R392" s="32"/>
      <c r="S392" s="32">
        <f t="shared" si="5"/>
        <v>0</v>
      </c>
      <c r="T392" s="32">
        <v>0</v>
      </c>
      <c r="U392" s="32"/>
      <c r="V392" s="32"/>
      <c r="W392" s="32"/>
      <c r="X392" s="32"/>
      <c r="Y392" s="32"/>
      <c r="Z392" s="32"/>
      <c r="AA392" s="32"/>
    </row>
    <row r="393" spans="14:27">
      <c r="N393" s="32"/>
      <c r="O393" s="32"/>
      <c r="P393" s="32"/>
      <c r="Q393" s="32"/>
      <c r="R393" s="32"/>
      <c r="S393" s="32">
        <f t="shared" si="5"/>
        <v>0</v>
      </c>
      <c r="T393" s="32">
        <v>0</v>
      </c>
      <c r="U393" s="32"/>
      <c r="V393" s="32"/>
      <c r="W393" s="32"/>
      <c r="X393" s="32"/>
      <c r="Y393" s="32"/>
      <c r="Z393" s="32"/>
      <c r="AA393" s="32"/>
    </row>
    <row r="394" spans="14:27">
      <c r="N394" s="32"/>
      <c r="O394" s="32"/>
      <c r="P394" s="32"/>
      <c r="Q394" s="32"/>
      <c r="R394" s="32"/>
      <c r="S394" s="32">
        <f t="shared" ref="S394:S457" si="6">IF(R394&lt;&gt;1,0,--OR(U394=1,AND($O$2&gt;=2,V394=1),AND($O$2&gt;=3,W394=1),AND($O$2&gt;=4,X394=1),AND($O$2&gt;=5,Y394=1)))</f>
        <v>0</v>
      </c>
      <c r="T394" s="32">
        <v>0</v>
      </c>
      <c r="U394" s="32"/>
      <c r="V394" s="32"/>
      <c r="W394" s="32"/>
      <c r="X394" s="32"/>
      <c r="Y394" s="32"/>
      <c r="Z394" s="32"/>
      <c r="AA394" s="32"/>
    </row>
    <row r="395" spans="14:27">
      <c r="N395" s="32"/>
      <c r="O395" s="32"/>
      <c r="P395" s="32"/>
      <c r="Q395" s="32"/>
      <c r="R395" s="32"/>
      <c r="S395" s="32">
        <f t="shared" si="6"/>
        <v>0</v>
      </c>
      <c r="T395" s="32">
        <v>0</v>
      </c>
      <c r="U395" s="32"/>
      <c r="V395" s="32"/>
      <c r="W395" s="32"/>
      <c r="X395" s="32"/>
      <c r="Y395" s="32"/>
      <c r="Z395" s="32"/>
      <c r="AA395" s="32"/>
    </row>
    <row r="396" spans="14:27">
      <c r="N396" s="32"/>
      <c r="O396" s="32"/>
      <c r="P396" s="32"/>
      <c r="Q396" s="32"/>
      <c r="R396" s="32"/>
      <c r="S396" s="32">
        <f t="shared" si="6"/>
        <v>0</v>
      </c>
      <c r="T396" s="32">
        <v>0</v>
      </c>
      <c r="U396" s="32"/>
      <c r="V396" s="32"/>
      <c r="W396" s="32"/>
      <c r="X396" s="32"/>
      <c r="Y396" s="32"/>
      <c r="Z396" s="32"/>
      <c r="AA396" s="32"/>
    </row>
    <row r="397" spans="14:27">
      <c r="N397" s="32"/>
      <c r="O397" s="32"/>
      <c r="P397" s="32"/>
      <c r="Q397" s="32"/>
      <c r="R397" s="32"/>
      <c r="S397" s="32">
        <f t="shared" si="6"/>
        <v>0</v>
      </c>
      <c r="T397" s="32">
        <v>0</v>
      </c>
      <c r="U397" s="32"/>
      <c r="V397" s="32"/>
      <c r="W397" s="32"/>
      <c r="X397" s="32"/>
      <c r="Y397" s="32"/>
      <c r="Z397" s="32"/>
      <c r="AA397" s="32"/>
    </row>
    <row r="398" spans="14:27">
      <c r="N398" s="32"/>
      <c r="O398" s="32"/>
      <c r="P398" s="32"/>
      <c r="Q398" s="32"/>
      <c r="R398" s="32"/>
      <c r="S398" s="32">
        <f t="shared" si="6"/>
        <v>0</v>
      </c>
      <c r="T398" s="32">
        <v>0</v>
      </c>
      <c r="U398" s="32"/>
      <c r="V398" s="32"/>
      <c r="W398" s="32"/>
      <c r="X398" s="32"/>
      <c r="Y398" s="32"/>
      <c r="Z398" s="32"/>
      <c r="AA398" s="32"/>
    </row>
    <row r="399" spans="14:27">
      <c r="N399" s="32"/>
      <c r="O399" s="32"/>
      <c r="P399" s="32"/>
      <c r="Q399" s="32"/>
      <c r="R399" s="32"/>
      <c r="S399" s="32">
        <f t="shared" si="6"/>
        <v>0</v>
      </c>
      <c r="T399" s="32">
        <v>0</v>
      </c>
      <c r="U399" s="32"/>
      <c r="V399" s="32"/>
      <c r="W399" s="32"/>
      <c r="X399" s="32"/>
      <c r="Y399" s="32"/>
      <c r="Z399" s="32"/>
      <c r="AA399" s="32"/>
    </row>
    <row r="400" spans="14:27">
      <c r="N400" s="32"/>
      <c r="O400" s="32"/>
      <c r="P400" s="32"/>
      <c r="Q400" s="32"/>
      <c r="R400" s="32"/>
      <c r="S400" s="32">
        <f t="shared" si="6"/>
        <v>0</v>
      </c>
      <c r="T400" s="32">
        <v>0</v>
      </c>
      <c r="U400" s="32"/>
      <c r="V400" s="32"/>
      <c r="W400" s="32"/>
      <c r="X400" s="32"/>
      <c r="Y400" s="32"/>
      <c r="Z400" s="32"/>
      <c r="AA400" s="32"/>
    </row>
    <row r="401" spans="14:27">
      <c r="N401" s="32"/>
      <c r="O401" s="32"/>
      <c r="P401" s="32"/>
      <c r="Q401" s="32"/>
      <c r="R401" s="32"/>
      <c r="S401" s="32">
        <f t="shared" si="6"/>
        <v>0</v>
      </c>
      <c r="T401" s="32">
        <v>0</v>
      </c>
      <c r="U401" s="32"/>
      <c r="V401" s="32"/>
      <c r="W401" s="32"/>
      <c r="X401" s="32"/>
      <c r="Y401" s="32"/>
      <c r="Z401" s="32"/>
      <c r="AA401" s="32"/>
    </row>
    <row r="402" spans="14:27">
      <c r="N402" s="32"/>
      <c r="O402" s="32"/>
      <c r="P402" s="32"/>
      <c r="Q402" s="32"/>
      <c r="R402" s="32"/>
      <c r="S402" s="32">
        <f t="shared" si="6"/>
        <v>0</v>
      </c>
      <c r="T402" s="32">
        <v>0</v>
      </c>
      <c r="U402" s="32"/>
      <c r="V402" s="32"/>
      <c r="W402" s="32"/>
      <c r="X402" s="32"/>
      <c r="Y402" s="32"/>
      <c r="Z402" s="32"/>
      <c r="AA402" s="32"/>
    </row>
    <row r="403" spans="14:27">
      <c r="N403" s="32"/>
      <c r="O403" s="32"/>
      <c r="P403" s="32"/>
      <c r="Q403" s="32"/>
      <c r="R403" s="32"/>
      <c r="S403" s="32">
        <f t="shared" si="6"/>
        <v>0</v>
      </c>
      <c r="T403" s="32">
        <v>0</v>
      </c>
      <c r="U403" s="32"/>
      <c r="V403" s="32"/>
      <c r="W403" s="32"/>
      <c r="X403" s="32"/>
      <c r="Y403" s="32"/>
      <c r="Z403" s="32"/>
      <c r="AA403" s="32"/>
    </row>
    <row r="404" spans="14:27">
      <c r="N404" s="32"/>
      <c r="O404" s="32"/>
      <c r="P404" s="32"/>
      <c r="Q404" s="32"/>
      <c r="R404" s="32"/>
      <c r="S404" s="32">
        <f t="shared" si="6"/>
        <v>0</v>
      </c>
      <c r="T404" s="32">
        <v>0</v>
      </c>
      <c r="U404" s="32"/>
      <c r="V404" s="32"/>
      <c r="W404" s="32"/>
      <c r="X404" s="32"/>
      <c r="Y404" s="32"/>
      <c r="Z404" s="32"/>
      <c r="AA404" s="32"/>
    </row>
    <row r="405" spans="14:27">
      <c r="N405" s="32"/>
      <c r="O405" s="32"/>
      <c r="P405" s="32"/>
      <c r="Q405" s="32"/>
      <c r="R405" s="32"/>
      <c r="S405" s="32">
        <f t="shared" si="6"/>
        <v>0</v>
      </c>
      <c r="T405" s="32">
        <v>0</v>
      </c>
      <c r="U405" s="32"/>
      <c r="V405" s="32"/>
      <c r="W405" s="32"/>
      <c r="X405" s="32"/>
      <c r="Y405" s="32"/>
      <c r="Z405" s="32"/>
      <c r="AA405" s="32"/>
    </row>
    <row r="406" spans="14:27">
      <c r="N406" s="32"/>
      <c r="O406" s="32"/>
      <c r="P406" s="32"/>
      <c r="Q406" s="32"/>
      <c r="R406" s="32"/>
      <c r="S406" s="32">
        <f t="shared" si="6"/>
        <v>0</v>
      </c>
      <c r="T406" s="32">
        <v>0</v>
      </c>
      <c r="U406" s="32"/>
      <c r="V406" s="32"/>
      <c r="W406" s="32"/>
      <c r="X406" s="32"/>
      <c r="Y406" s="32"/>
      <c r="Z406" s="32"/>
      <c r="AA406" s="32"/>
    </row>
    <row r="407" spans="14:27">
      <c r="N407" s="32"/>
      <c r="O407" s="32"/>
      <c r="P407" s="32"/>
      <c r="Q407" s="32"/>
      <c r="R407" s="32"/>
      <c r="S407" s="32">
        <f t="shared" si="6"/>
        <v>0</v>
      </c>
      <c r="T407" s="32">
        <v>0</v>
      </c>
      <c r="U407" s="32"/>
      <c r="V407" s="32"/>
      <c r="W407" s="32"/>
      <c r="X407" s="32"/>
      <c r="Y407" s="32"/>
      <c r="Z407" s="32"/>
      <c r="AA407" s="32"/>
    </row>
    <row r="408" spans="14:27">
      <c r="N408" s="32"/>
      <c r="O408" s="32"/>
      <c r="P408" s="32"/>
      <c r="Q408" s="32"/>
      <c r="R408" s="32"/>
      <c r="S408" s="32">
        <f t="shared" si="6"/>
        <v>0</v>
      </c>
      <c r="T408" s="32">
        <v>0</v>
      </c>
      <c r="U408" s="32"/>
      <c r="V408" s="32"/>
      <c r="W408" s="32"/>
      <c r="X408" s="32"/>
      <c r="Y408" s="32"/>
      <c r="Z408" s="32"/>
      <c r="AA408" s="32"/>
    </row>
    <row r="409" spans="14:27">
      <c r="N409" s="32"/>
      <c r="O409" s="32"/>
      <c r="P409" s="32"/>
      <c r="Q409" s="32"/>
      <c r="R409" s="32"/>
      <c r="S409" s="32">
        <f t="shared" si="6"/>
        <v>0</v>
      </c>
      <c r="T409" s="32">
        <v>0</v>
      </c>
      <c r="U409" s="32"/>
      <c r="V409" s="32"/>
      <c r="W409" s="32"/>
      <c r="X409" s="32"/>
      <c r="Y409" s="32"/>
      <c r="Z409" s="32"/>
      <c r="AA409" s="32"/>
    </row>
    <row r="410" spans="14:27">
      <c r="N410" s="32"/>
      <c r="O410" s="32"/>
      <c r="P410" s="32"/>
      <c r="Q410" s="32"/>
      <c r="R410" s="32"/>
      <c r="S410" s="32">
        <f t="shared" si="6"/>
        <v>0</v>
      </c>
      <c r="T410" s="32">
        <v>0</v>
      </c>
      <c r="U410" s="32"/>
      <c r="V410" s="32"/>
      <c r="W410" s="32"/>
      <c r="X410" s="32"/>
      <c r="Y410" s="32"/>
      <c r="Z410" s="32"/>
      <c r="AA410" s="32"/>
    </row>
    <row r="411" spans="14:27">
      <c r="N411" s="32"/>
      <c r="O411" s="32"/>
      <c r="P411" s="32"/>
      <c r="Q411" s="32"/>
      <c r="R411" s="32"/>
      <c r="S411" s="32">
        <f t="shared" si="6"/>
        <v>0</v>
      </c>
      <c r="T411" s="32">
        <v>0</v>
      </c>
      <c r="U411" s="32"/>
      <c r="V411" s="32"/>
      <c r="W411" s="32"/>
      <c r="X411" s="32"/>
      <c r="Y411" s="32"/>
      <c r="Z411" s="32"/>
      <c r="AA411" s="32"/>
    </row>
    <row r="412" spans="14:27">
      <c r="N412" s="32"/>
      <c r="O412" s="32"/>
      <c r="P412" s="32"/>
      <c r="Q412" s="32"/>
      <c r="R412" s="32"/>
      <c r="S412" s="32">
        <f t="shared" si="6"/>
        <v>0</v>
      </c>
      <c r="T412" s="32">
        <v>0</v>
      </c>
      <c r="U412" s="32"/>
      <c r="V412" s="32"/>
      <c r="W412" s="32"/>
      <c r="X412" s="32"/>
      <c r="Y412" s="32"/>
      <c r="Z412" s="32"/>
      <c r="AA412" s="32"/>
    </row>
    <row r="413" spans="14:27">
      <c r="N413" s="32"/>
      <c r="O413" s="32"/>
      <c r="P413" s="32"/>
      <c r="Q413" s="32"/>
      <c r="R413" s="32"/>
      <c r="S413" s="32">
        <f t="shared" si="6"/>
        <v>0</v>
      </c>
      <c r="T413" s="32">
        <v>0</v>
      </c>
      <c r="U413" s="32"/>
      <c r="V413" s="32"/>
      <c r="W413" s="32"/>
      <c r="X413" s="32"/>
      <c r="Y413" s="32"/>
      <c r="Z413" s="32"/>
      <c r="AA413" s="32"/>
    </row>
    <row r="414" spans="14:27">
      <c r="N414" s="32"/>
      <c r="O414" s="32"/>
      <c r="P414" s="32"/>
      <c r="Q414" s="32"/>
      <c r="R414" s="32"/>
      <c r="S414" s="32">
        <f t="shared" si="6"/>
        <v>0</v>
      </c>
      <c r="T414" s="32">
        <v>0</v>
      </c>
      <c r="U414" s="32"/>
      <c r="V414" s="32"/>
      <c r="W414" s="32"/>
      <c r="X414" s="32"/>
      <c r="Y414" s="32"/>
      <c r="Z414" s="32"/>
      <c r="AA414" s="32"/>
    </row>
    <row r="415" spans="14:27">
      <c r="N415" s="32"/>
      <c r="O415" s="32"/>
      <c r="P415" s="32"/>
      <c r="Q415" s="32"/>
      <c r="R415" s="32"/>
      <c r="S415" s="32">
        <f t="shared" si="6"/>
        <v>0</v>
      </c>
      <c r="T415" s="32">
        <v>0</v>
      </c>
      <c r="U415" s="32"/>
      <c r="V415" s="32"/>
      <c r="W415" s="32"/>
      <c r="X415" s="32"/>
      <c r="Y415" s="32"/>
      <c r="Z415" s="32"/>
      <c r="AA415" s="32"/>
    </row>
    <row r="416" spans="14:27">
      <c r="N416" s="32"/>
      <c r="O416" s="32"/>
      <c r="P416" s="32"/>
      <c r="Q416" s="32"/>
      <c r="R416" s="32"/>
      <c r="S416" s="32">
        <f t="shared" si="6"/>
        <v>0</v>
      </c>
      <c r="T416" s="32">
        <v>0</v>
      </c>
      <c r="U416" s="32"/>
      <c r="V416" s="32"/>
      <c r="W416" s="32"/>
      <c r="X416" s="32"/>
      <c r="Y416" s="32"/>
      <c r="Z416" s="32"/>
      <c r="AA416" s="32"/>
    </row>
    <row r="417" spans="14:27">
      <c r="N417" s="32"/>
      <c r="O417" s="32"/>
      <c r="P417" s="32"/>
      <c r="Q417" s="32"/>
      <c r="R417" s="32"/>
      <c r="S417" s="32">
        <f t="shared" si="6"/>
        <v>0</v>
      </c>
      <c r="T417" s="32">
        <v>0</v>
      </c>
      <c r="U417" s="32"/>
      <c r="V417" s="32"/>
      <c r="W417" s="32"/>
      <c r="X417" s="32"/>
      <c r="Y417" s="32"/>
      <c r="Z417" s="32"/>
      <c r="AA417" s="32"/>
    </row>
    <row r="418" spans="14:27">
      <c r="N418" s="32"/>
      <c r="O418" s="32"/>
      <c r="P418" s="32"/>
      <c r="Q418" s="32"/>
      <c r="R418" s="32"/>
      <c r="S418" s="32">
        <f t="shared" si="6"/>
        <v>0</v>
      </c>
      <c r="T418" s="32">
        <v>0</v>
      </c>
      <c r="U418" s="32"/>
      <c r="V418" s="32"/>
      <c r="W418" s="32"/>
      <c r="X418" s="32"/>
      <c r="Y418" s="32"/>
      <c r="Z418" s="32"/>
      <c r="AA418" s="32"/>
    </row>
    <row r="419" spans="14:27">
      <c r="N419" s="32"/>
      <c r="O419" s="32"/>
      <c r="P419" s="32"/>
      <c r="Q419" s="32"/>
      <c r="R419" s="32"/>
      <c r="S419" s="32">
        <f t="shared" si="6"/>
        <v>0</v>
      </c>
      <c r="T419" s="32">
        <v>0</v>
      </c>
      <c r="U419" s="32"/>
      <c r="V419" s="32"/>
      <c r="W419" s="32"/>
      <c r="X419" s="32"/>
      <c r="Y419" s="32"/>
      <c r="Z419" s="32"/>
      <c r="AA419" s="32"/>
    </row>
    <row r="420" spans="14:27">
      <c r="N420" s="32"/>
      <c r="O420" s="32"/>
      <c r="P420" s="32"/>
      <c r="Q420" s="32"/>
      <c r="R420" s="32"/>
      <c r="S420" s="32">
        <f t="shared" si="6"/>
        <v>0</v>
      </c>
      <c r="T420" s="32">
        <v>0</v>
      </c>
      <c r="U420" s="32"/>
      <c r="V420" s="32"/>
      <c r="W420" s="32"/>
      <c r="X420" s="32"/>
      <c r="Y420" s="32"/>
      <c r="Z420" s="32"/>
      <c r="AA420" s="32"/>
    </row>
    <row r="421" spans="14:27">
      <c r="N421" s="32"/>
      <c r="O421" s="32"/>
      <c r="P421" s="32"/>
      <c r="Q421" s="32"/>
      <c r="R421" s="32"/>
      <c r="S421" s="32">
        <f t="shared" si="6"/>
        <v>0</v>
      </c>
      <c r="T421" s="32">
        <v>0</v>
      </c>
      <c r="U421" s="32"/>
      <c r="V421" s="32"/>
      <c r="W421" s="32"/>
      <c r="X421" s="32"/>
      <c r="Y421" s="32"/>
      <c r="Z421" s="32"/>
      <c r="AA421" s="32"/>
    </row>
    <row r="422" spans="14:27">
      <c r="N422" s="32"/>
      <c r="O422" s="32"/>
      <c r="P422" s="32"/>
      <c r="Q422" s="32"/>
      <c r="R422" s="32"/>
      <c r="S422" s="32">
        <f t="shared" si="6"/>
        <v>0</v>
      </c>
      <c r="T422" s="32">
        <v>0</v>
      </c>
      <c r="U422" s="32"/>
      <c r="V422" s="32"/>
      <c r="W422" s="32"/>
      <c r="X422" s="32"/>
      <c r="Y422" s="32"/>
      <c r="Z422" s="32"/>
      <c r="AA422" s="32"/>
    </row>
    <row r="423" spans="14:27">
      <c r="N423" s="32"/>
      <c r="O423" s="32"/>
      <c r="P423" s="32"/>
      <c r="Q423" s="32"/>
      <c r="R423" s="32"/>
      <c r="S423" s="32">
        <f t="shared" si="6"/>
        <v>0</v>
      </c>
      <c r="T423" s="32">
        <v>0</v>
      </c>
      <c r="U423" s="32"/>
      <c r="V423" s="32"/>
      <c r="W423" s="32"/>
      <c r="X423" s="32"/>
      <c r="Y423" s="32"/>
      <c r="Z423" s="32"/>
      <c r="AA423" s="32"/>
    </row>
    <row r="424" spans="14:27">
      <c r="N424" s="32"/>
      <c r="O424" s="32"/>
      <c r="P424" s="32"/>
      <c r="Q424" s="32"/>
      <c r="R424" s="32"/>
      <c r="S424" s="32">
        <f t="shared" si="6"/>
        <v>0</v>
      </c>
      <c r="T424" s="32">
        <v>0</v>
      </c>
      <c r="U424" s="32"/>
      <c r="V424" s="32"/>
      <c r="W424" s="32"/>
      <c r="X424" s="32"/>
      <c r="Y424" s="32"/>
      <c r="Z424" s="32"/>
      <c r="AA424" s="32"/>
    </row>
    <row r="425" spans="14:27">
      <c r="N425" s="32"/>
      <c r="O425" s="32"/>
      <c r="P425" s="32"/>
      <c r="Q425" s="32"/>
      <c r="R425" s="32"/>
      <c r="S425" s="32">
        <f t="shared" si="6"/>
        <v>0</v>
      </c>
      <c r="T425" s="32">
        <v>0</v>
      </c>
      <c r="U425" s="32"/>
      <c r="V425" s="32"/>
      <c r="W425" s="32"/>
      <c r="X425" s="32"/>
      <c r="Y425" s="32"/>
      <c r="Z425" s="32"/>
      <c r="AA425" s="32"/>
    </row>
    <row r="426" spans="14:27">
      <c r="N426" s="32"/>
      <c r="O426" s="32"/>
      <c r="P426" s="32"/>
      <c r="Q426" s="32"/>
      <c r="R426" s="32"/>
      <c r="S426" s="32">
        <f t="shared" si="6"/>
        <v>0</v>
      </c>
      <c r="T426" s="32">
        <v>0</v>
      </c>
      <c r="U426" s="32"/>
      <c r="V426" s="32"/>
      <c r="W426" s="32"/>
      <c r="X426" s="32"/>
      <c r="Y426" s="32"/>
      <c r="Z426" s="32"/>
      <c r="AA426" s="32"/>
    </row>
    <row r="427" spans="14:27">
      <c r="N427" s="32"/>
      <c r="O427" s="32"/>
      <c r="P427" s="32"/>
      <c r="Q427" s="32"/>
      <c r="R427" s="32"/>
      <c r="S427" s="32">
        <f t="shared" si="6"/>
        <v>0</v>
      </c>
      <c r="T427" s="32">
        <v>0</v>
      </c>
      <c r="U427" s="32"/>
      <c r="V427" s="32"/>
      <c r="W427" s="32"/>
      <c r="X427" s="32"/>
      <c r="Y427" s="32"/>
      <c r="Z427" s="32"/>
      <c r="AA427" s="32"/>
    </row>
    <row r="428" spans="14:27">
      <c r="N428" s="32"/>
      <c r="O428" s="32"/>
      <c r="P428" s="32"/>
      <c r="Q428" s="32"/>
      <c r="R428" s="32"/>
      <c r="S428" s="32">
        <f t="shared" si="6"/>
        <v>0</v>
      </c>
      <c r="T428" s="32">
        <v>0</v>
      </c>
      <c r="U428" s="32"/>
      <c r="V428" s="32"/>
      <c r="W428" s="32"/>
      <c r="X428" s="32"/>
      <c r="Y428" s="32"/>
      <c r="Z428" s="32"/>
      <c r="AA428" s="32"/>
    </row>
    <row r="429" spans="14:27">
      <c r="N429" s="32"/>
      <c r="O429" s="32"/>
      <c r="P429" s="32"/>
      <c r="Q429" s="32"/>
      <c r="R429" s="32"/>
      <c r="S429" s="32">
        <f t="shared" si="6"/>
        <v>0</v>
      </c>
      <c r="T429" s="32">
        <v>0</v>
      </c>
      <c r="U429" s="32"/>
      <c r="V429" s="32"/>
      <c r="W429" s="32"/>
      <c r="X429" s="32"/>
      <c r="Y429" s="32"/>
      <c r="Z429" s="32"/>
      <c r="AA429" s="32"/>
    </row>
    <row r="430" spans="14:27">
      <c r="N430" s="32"/>
      <c r="O430" s="32"/>
      <c r="P430" s="32"/>
      <c r="Q430" s="32"/>
      <c r="R430" s="32"/>
      <c r="S430" s="32">
        <f t="shared" si="6"/>
        <v>0</v>
      </c>
      <c r="T430" s="32">
        <v>0</v>
      </c>
      <c r="U430" s="32"/>
      <c r="V430" s="32"/>
      <c r="W430" s="32"/>
      <c r="X430" s="32"/>
      <c r="Y430" s="32"/>
      <c r="Z430" s="32"/>
      <c r="AA430" s="32"/>
    </row>
    <row r="431" spans="14:27">
      <c r="N431" s="32"/>
      <c r="O431" s="32"/>
      <c r="P431" s="32"/>
      <c r="Q431" s="32"/>
      <c r="R431" s="32"/>
      <c r="S431" s="32">
        <f t="shared" si="6"/>
        <v>0</v>
      </c>
      <c r="T431" s="32">
        <v>0</v>
      </c>
      <c r="U431" s="32"/>
      <c r="V431" s="32"/>
      <c r="W431" s="32"/>
      <c r="X431" s="32"/>
      <c r="Y431" s="32"/>
      <c r="Z431" s="32"/>
      <c r="AA431" s="32"/>
    </row>
    <row r="432" spans="14:27">
      <c r="N432" s="32"/>
      <c r="O432" s="32"/>
      <c r="P432" s="32"/>
      <c r="Q432" s="32"/>
      <c r="R432" s="32"/>
      <c r="S432" s="32">
        <f t="shared" si="6"/>
        <v>0</v>
      </c>
      <c r="T432" s="32">
        <v>0</v>
      </c>
      <c r="U432" s="32"/>
      <c r="V432" s="32"/>
      <c r="W432" s="32"/>
      <c r="X432" s="32"/>
      <c r="Y432" s="32"/>
      <c r="Z432" s="32"/>
      <c r="AA432" s="32"/>
    </row>
    <row r="433" spans="14:27">
      <c r="N433" s="32"/>
      <c r="O433" s="32"/>
      <c r="P433" s="32"/>
      <c r="Q433" s="32"/>
      <c r="R433" s="32"/>
      <c r="S433" s="32">
        <f t="shared" si="6"/>
        <v>0</v>
      </c>
      <c r="T433" s="32">
        <v>0</v>
      </c>
      <c r="U433" s="32"/>
      <c r="V433" s="32"/>
      <c r="W433" s="32"/>
      <c r="X433" s="32"/>
      <c r="Y433" s="32"/>
      <c r="Z433" s="32"/>
      <c r="AA433" s="32"/>
    </row>
    <row r="434" spans="14:27">
      <c r="N434" s="32"/>
      <c r="O434" s="32"/>
      <c r="P434" s="32"/>
      <c r="Q434" s="32"/>
      <c r="R434" s="32"/>
      <c r="S434" s="32">
        <f t="shared" si="6"/>
        <v>0</v>
      </c>
      <c r="T434" s="32">
        <v>0</v>
      </c>
      <c r="U434" s="32"/>
      <c r="V434" s="32"/>
      <c r="W434" s="32"/>
      <c r="X434" s="32"/>
      <c r="Y434" s="32"/>
      <c r="Z434" s="32"/>
      <c r="AA434" s="32"/>
    </row>
    <row r="435" spans="14:27">
      <c r="N435" s="32"/>
      <c r="O435" s="32"/>
      <c r="P435" s="32"/>
      <c r="Q435" s="32"/>
      <c r="R435" s="32"/>
      <c r="S435" s="32">
        <f t="shared" si="6"/>
        <v>0</v>
      </c>
      <c r="T435" s="32">
        <v>0</v>
      </c>
      <c r="U435" s="32"/>
      <c r="V435" s="32"/>
      <c r="W435" s="32"/>
      <c r="X435" s="32"/>
      <c r="Y435" s="32"/>
      <c r="Z435" s="32"/>
      <c r="AA435" s="32"/>
    </row>
    <row r="436" spans="14:27">
      <c r="N436" s="32"/>
      <c r="O436" s="32"/>
      <c r="P436" s="32"/>
      <c r="Q436" s="32"/>
      <c r="R436" s="32"/>
      <c r="S436" s="32">
        <f t="shared" si="6"/>
        <v>0</v>
      </c>
      <c r="T436" s="32">
        <v>0</v>
      </c>
      <c r="U436" s="32"/>
      <c r="V436" s="32"/>
      <c r="W436" s="32"/>
      <c r="X436" s="32"/>
      <c r="Y436" s="32"/>
      <c r="Z436" s="32"/>
      <c r="AA436" s="32"/>
    </row>
    <row r="437" spans="14:27">
      <c r="N437" s="32"/>
      <c r="O437" s="32"/>
      <c r="P437" s="32"/>
      <c r="Q437" s="32"/>
      <c r="R437" s="32"/>
      <c r="S437" s="32">
        <f t="shared" si="6"/>
        <v>0</v>
      </c>
      <c r="T437" s="32">
        <v>0</v>
      </c>
      <c r="U437" s="32"/>
      <c r="V437" s="32"/>
      <c r="W437" s="32"/>
      <c r="X437" s="32"/>
      <c r="Y437" s="32"/>
      <c r="Z437" s="32"/>
      <c r="AA437" s="32"/>
    </row>
    <row r="438" spans="14:27">
      <c r="N438" s="32"/>
      <c r="O438" s="32"/>
      <c r="P438" s="32"/>
      <c r="Q438" s="32"/>
      <c r="R438" s="32"/>
      <c r="S438" s="32">
        <f t="shared" si="6"/>
        <v>0</v>
      </c>
      <c r="T438" s="32">
        <v>0</v>
      </c>
      <c r="U438" s="32"/>
      <c r="V438" s="32"/>
      <c r="W438" s="32"/>
      <c r="X438" s="32"/>
      <c r="Y438" s="32"/>
      <c r="Z438" s="32"/>
      <c r="AA438" s="32"/>
    </row>
    <row r="439" spans="14:27">
      <c r="N439" s="32"/>
      <c r="O439" s="32"/>
      <c r="P439" s="32"/>
      <c r="Q439" s="32"/>
      <c r="R439" s="32"/>
      <c r="S439" s="32">
        <f t="shared" si="6"/>
        <v>0</v>
      </c>
      <c r="T439" s="32">
        <v>0</v>
      </c>
      <c r="U439" s="32"/>
      <c r="V439" s="32"/>
      <c r="W439" s="32"/>
      <c r="X439" s="32"/>
      <c r="Y439" s="32"/>
      <c r="Z439" s="32"/>
      <c r="AA439" s="32"/>
    </row>
    <row r="440" spans="14:27">
      <c r="N440" s="32"/>
      <c r="O440" s="32"/>
      <c r="P440" s="32"/>
      <c r="Q440" s="32"/>
      <c r="R440" s="32"/>
      <c r="S440" s="32">
        <f t="shared" si="6"/>
        <v>0</v>
      </c>
      <c r="T440" s="32">
        <v>0</v>
      </c>
      <c r="U440" s="32"/>
      <c r="V440" s="32"/>
      <c r="W440" s="32"/>
      <c r="X440" s="32"/>
      <c r="Y440" s="32"/>
      <c r="Z440" s="32"/>
      <c r="AA440" s="32"/>
    </row>
    <row r="441" spans="14:27">
      <c r="N441" s="32"/>
      <c r="O441" s="32"/>
      <c r="P441" s="32"/>
      <c r="Q441" s="32"/>
      <c r="R441" s="32"/>
      <c r="S441" s="32">
        <f t="shared" si="6"/>
        <v>0</v>
      </c>
      <c r="T441" s="32">
        <v>0</v>
      </c>
      <c r="U441" s="32"/>
      <c r="V441" s="32"/>
      <c r="W441" s="32"/>
      <c r="X441" s="32"/>
      <c r="Y441" s="32"/>
      <c r="Z441" s="32"/>
      <c r="AA441" s="32"/>
    </row>
    <row r="442" spans="14:27">
      <c r="N442" s="32"/>
      <c r="O442" s="32"/>
      <c r="P442" s="32"/>
      <c r="Q442" s="32"/>
      <c r="R442" s="32"/>
      <c r="S442" s="32">
        <f t="shared" si="6"/>
        <v>0</v>
      </c>
      <c r="T442" s="32">
        <v>0</v>
      </c>
      <c r="U442" s="32"/>
      <c r="V442" s="32"/>
      <c r="W442" s="32"/>
      <c r="X442" s="32"/>
      <c r="Y442" s="32"/>
      <c r="Z442" s="32"/>
      <c r="AA442" s="32"/>
    </row>
    <row r="443" spans="14:27">
      <c r="N443" s="32"/>
      <c r="O443" s="32"/>
      <c r="P443" s="32"/>
      <c r="Q443" s="32"/>
      <c r="R443" s="32"/>
      <c r="S443" s="32">
        <f t="shared" si="6"/>
        <v>0</v>
      </c>
      <c r="T443" s="32">
        <v>0</v>
      </c>
      <c r="U443" s="32"/>
      <c r="V443" s="32"/>
      <c r="W443" s="32"/>
      <c r="X443" s="32"/>
      <c r="Y443" s="32"/>
      <c r="Z443" s="32"/>
      <c r="AA443" s="32"/>
    </row>
    <row r="444" spans="14:27">
      <c r="N444" s="32"/>
      <c r="O444" s="32"/>
      <c r="P444" s="32"/>
      <c r="Q444" s="32"/>
      <c r="R444" s="32"/>
      <c r="S444" s="32">
        <f t="shared" si="6"/>
        <v>0</v>
      </c>
      <c r="T444" s="32">
        <v>0</v>
      </c>
      <c r="U444" s="32"/>
      <c r="V444" s="32"/>
      <c r="W444" s="32"/>
      <c r="X444" s="32"/>
      <c r="Y444" s="32"/>
      <c r="Z444" s="32"/>
      <c r="AA444" s="32"/>
    </row>
    <row r="445" spans="14:27">
      <c r="N445" s="32"/>
      <c r="O445" s="32"/>
      <c r="P445" s="32"/>
      <c r="Q445" s="32"/>
      <c r="R445" s="32"/>
      <c r="S445" s="32">
        <f t="shared" si="6"/>
        <v>0</v>
      </c>
      <c r="T445" s="32">
        <v>0</v>
      </c>
      <c r="U445" s="32"/>
      <c r="V445" s="32"/>
      <c r="W445" s="32"/>
      <c r="X445" s="32"/>
      <c r="Y445" s="32"/>
      <c r="Z445" s="32"/>
      <c r="AA445" s="32"/>
    </row>
    <row r="446" spans="14:27">
      <c r="N446" s="32"/>
      <c r="O446" s="32"/>
      <c r="P446" s="32"/>
      <c r="Q446" s="32"/>
      <c r="R446" s="32"/>
      <c r="S446" s="32">
        <f t="shared" si="6"/>
        <v>0</v>
      </c>
      <c r="T446" s="32">
        <v>0</v>
      </c>
      <c r="U446" s="32"/>
      <c r="V446" s="32"/>
      <c r="W446" s="32"/>
      <c r="X446" s="32"/>
      <c r="Y446" s="32"/>
      <c r="Z446" s="32"/>
      <c r="AA446" s="32"/>
    </row>
    <row r="447" spans="14:27">
      <c r="N447" s="32"/>
      <c r="O447" s="32"/>
      <c r="P447" s="32"/>
      <c r="Q447" s="32"/>
      <c r="R447" s="32"/>
      <c r="S447" s="32">
        <f t="shared" si="6"/>
        <v>0</v>
      </c>
      <c r="T447" s="32">
        <v>0</v>
      </c>
      <c r="U447" s="32"/>
      <c r="V447" s="32"/>
      <c r="W447" s="32"/>
      <c r="X447" s="32"/>
      <c r="Y447" s="32"/>
      <c r="Z447" s="32"/>
      <c r="AA447" s="32"/>
    </row>
    <row r="448" spans="14:27">
      <c r="N448" s="32"/>
      <c r="O448" s="32"/>
      <c r="P448" s="32"/>
      <c r="Q448" s="32"/>
      <c r="R448" s="32"/>
      <c r="S448" s="32">
        <f t="shared" si="6"/>
        <v>0</v>
      </c>
      <c r="T448" s="32">
        <v>0</v>
      </c>
      <c r="U448" s="32"/>
      <c r="V448" s="32"/>
      <c r="W448" s="32"/>
      <c r="X448" s="32"/>
      <c r="Y448" s="32"/>
      <c r="Z448" s="32"/>
      <c r="AA448" s="32"/>
    </row>
    <row r="449" spans="14:27">
      <c r="N449" s="32"/>
      <c r="O449" s="32"/>
      <c r="P449" s="32"/>
      <c r="Q449" s="32"/>
      <c r="R449" s="32"/>
      <c r="S449" s="32">
        <f t="shared" si="6"/>
        <v>0</v>
      </c>
      <c r="T449" s="32">
        <v>0</v>
      </c>
      <c r="U449" s="32"/>
      <c r="V449" s="32"/>
      <c r="W449" s="32"/>
      <c r="X449" s="32"/>
      <c r="Y449" s="32"/>
      <c r="Z449" s="32"/>
      <c r="AA449" s="32"/>
    </row>
    <row r="450" spans="14:27">
      <c r="N450" s="32"/>
      <c r="O450" s="32"/>
      <c r="P450" s="32"/>
      <c r="Q450" s="32"/>
      <c r="R450" s="32"/>
      <c r="S450" s="32">
        <f t="shared" si="6"/>
        <v>0</v>
      </c>
      <c r="T450" s="32">
        <v>0</v>
      </c>
      <c r="U450" s="32"/>
      <c r="V450" s="32"/>
      <c r="W450" s="32"/>
      <c r="X450" s="32"/>
      <c r="Y450" s="32"/>
      <c r="Z450" s="32"/>
      <c r="AA450" s="32"/>
    </row>
    <row r="451" spans="14:27">
      <c r="N451" s="32"/>
      <c r="O451" s="32"/>
      <c r="P451" s="32"/>
      <c r="Q451" s="32"/>
      <c r="R451" s="32"/>
      <c r="S451" s="32">
        <f t="shared" si="6"/>
        <v>0</v>
      </c>
      <c r="T451" s="32">
        <v>0</v>
      </c>
      <c r="U451" s="32"/>
      <c r="V451" s="32"/>
      <c r="W451" s="32"/>
      <c r="X451" s="32"/>
      <c r="Y451" s="32"/>
      <c r="Z451" s="32"/>
      <c r="AA451" s="32"/>
    </row>
    <row r="452" spans="14:27">
      <c r="N452" s="32"/>
      <c r="O452" s="32"/>
      <c r="P452" s="32"/>
      <c r="Q452" s="32"/>
      <c r="R452" s="32"/>
      <c r="S452" s="32">
        <f t="shared" si="6"/>
        <v>0</v>
      </c>
      <c r="T452" s="32">
        <v>0</v>
      </c>
      <c r="U452" s="32"/>
      <c r="V452" s="32"/>
      <c r="W452" s="32"/>
      <c r="X452" s="32"/>
      <c r="Y452" s="32"/>
      <c r="Z452" s="32"/>
      <c r="AA452" s="32"/>
    </row>
    <row r="453" spans="14:27">
      <c r="N453" s="32"/>
      <c r="O453" s="32"/>
      <c r="P453" s="32"/>
      <c r="Q453" s="32"/>
      <c r="R453" s="32"/>
      <c r="S453" s="32">
        <f t="shared" si="6"/>
        <v>0</v>
      </c>
      <c r="T453" s="32">
        <v>0</v>
      </c>
      <c r="U453" s="32"/>
      <c r="V453" s="32"/>
      <c r="W453" s="32"/>
      <c r="X453" s="32"/>
      <c r="Y453" s="32"/>
      <c r="Z453" s="32"/>
      <c r="AA453" s="32"/>
    </row>
    <row r="454" spans="14:27">
      <c r="N454" s="32"/>
      <c r="O454" s="32"/>
      <c r="P454" s="32"/>
      <c r="Q454" s="32"/>
      <c r="R454" s="32"/>
      <c r="S454" s="32">
        <f t="shared" si="6"/>
        <v>0</v>
      </c>
      <c r="T454" s="32">
        <v>0</v>
      </c>
      <c r="U454" s="32"/>
      <c r="V454" s="32"/>
      <c r="W454" s="32"/>
      <c r="X454" s="32"/>
      <c r="Y454" s="32"/>
      <c r="Z454" s="32"/>
      <c r="AA454" s="32"/>
    </row>
    <row r="455" spans="14:27">
      <c r="N455" s="32"/>
      <c r="O455" s="32"/>
      <c r="P455" s="32"/>
      <c r="Q455" s="32"/>
      <c r="R455" s="32"/>
      <c r="S455" s="32">
        <f t="shared" si="6"/>
        <v>0</v>
      </c>
      <c r="T455" s="32">
        <v>0</v>
      </c>
      <c r="U455" s="32"/>
      <c r="V455" s="32"/>
      <c r="W455" s="32"/>
      <c r="X455" s="32"/>
      <c r="Y455" s="32"/>
      <c r="Z455" s="32"/>
      <c r="AA455" s="32"/>
    </row>
    <row r="456" spans="14:27">
      <c r="N456" s="32"/>
      <c r="O456" s="32"/>
      <c r="P456" s="32"/>
      <c r="Q456" s="32"/>
      <c r="R456" s="32"/>
      <c r="S456" s="32">
        <f t="shared" si="6"/>
        <v>0</v>
      </c>
      <c r="T456" s="32">
        <v>0</v>
      </c>
      <c r="U456" s="32"/>
      <c r="V456" s="32"/>
      <c r="W456" s="32"/>
      <c r="X456" s="32"/>
      <c r="Y456" s="32"/>
      <c r="Z456" s="32"/>
      <c r="AA456" s="32"/>
    </row>
    <row r="457" spans="14:27">
      <c r="N457" s="32"/>
      <c r="O457" s="32"/>
      <c r="P457" s="32"/>
      <c r="Q457" s="32"/>
      <c r="R457" s="32"/>
      <c r="S457" s="32">
        <f t="shared" si="6"/>
        <v>0</v>
      </c>
      <c r="T457" s="32">
        <v>0</v>
      </c>
      <c r="U457" s="32"/>
      <c r="V457" s="32"/>
      <c r="W457" s="32"/>
      <c r="X457" s="32"/>
      <c r="Y457" s="32"/>
      <c r="Z457" s="32"/>
      <c r="AA457" s="32"/>
    </row>
    <row r="458" spans="14:27">
      <c r="N458" s="32"/>
      <c r="O458" s="32"/>
      <c r="P458" s="32"/>
      <c r="Q458" s="32"/>
      <c r="R458" s="32"/>
      <c r="S458" s="32">
        <f t="shared" ref="S458:S521" si="7">IF(R458&lt;&gt;1,0,--OR(U458=1,AND($O$2&gt;=2,V458=1),AND($O$2&gt;=3,W458=1),AND($O$2&gt;=4,X458=1),AND($O$2&gt;=5,Y458=1)))</f>
        <v>0</v>
      </c>
      <c r="T458" s="32">
        <v>0</v>
      </c>
      <c r="U458" s="32"/>
      <c r="V458" s="32"/>
      <c r="W458" s="32"/>
      <c r="X458" s="32"/>
      <c r="Y458" s="32"/>
      <c r="Z458" s="32"/>
      <c r="AA458" s="32"/>
    </row>
    <row r="459" spans="14:27">
      <c r="N459" s="32"/>
      <c r="O459" s="32"/>
      <c r="P459" s="32"/>
      <c r="Q459" s="32"/>
      <c r="R459" s="32"/>
      <c r="S459" s="32">
        <f t="shared" si="7"/>
        <v>0</v>
      </c>
      <c r="T459" s="32">
        <v>0</v>
      </c>
      <c r="U459" s="32"/>
      <c r="V459" s="32"/>
      <c r="W459" s="32"/>
      <c r="X459" s="32"/>
      <c r="Y459" s="32"/>
      <c r="Z459" s="32"/>
      <c r="AA459" s="32"/>
    </row>
    <row r="460" spans="14:27">
      <c r="N460" s="32"/>
      <c r="O460" s="32"/>
      <c r="P460" s="32"/>
      <c r="Q460" s="32"/>
      <c r="R460" s="32"/>
      <c r="S460" s="32">
        <f t="shared" si="7"/>
        <v>0</v>
      </c>
      <c r="T460" s="32">
        <v>0</v>
      </c>
      <c r="U460" s="32"/>
      <c r="V460" s="32"/>
      <c r="W460" s="32"/>
      <c r="X460" s="32"/>
      <c r="Y460" s="32"/>
      <c r="Z460" s="32"/>
      <c r="AA460" s="32"/>
    </row>
    <row r="461" spans="14:27">
      <c r="N461" s="32"/>
      <c r="O461" s="32"/>
      <c r="P461" s="32"/>
      <c r="Q461" s="32"/>
      <c r="R461" s="32"/>
      <c r="S461" s="32">
        <f t="shared" si="7"/>
        <v>0</v>
      </c>
      <c r="T461" s="32">
        <v>0</v>
      </c>
      <c r="U461" s="32"/>
      <c r="V461" s="32"/>
      <c r="W461" s="32"/>
      <c r="X461" s="32"/>
      <c r="Y461" s="32"/>
      <c r="Z461" s="32"/>
      <c r="AA461" s="32"/>
    </row>
    <row r="462" spans="14:27">
      <c r="N462" s="32"/>
      <c r="O462" s="32"/>
      <c r="P462" s="32"/>
      <c r="Q462" s="32"/>
      <c r="R462" s="32"/>
      <c r="S462" s="32">
        <f t="shared" si="7"/>
        <v>0</v>
      </c>
      <c r="T462" s="32">
        <v>0</v>
      </c>
      <c r="U462" s="32"/>
      <c r="V462" s="32"/>
      <c r="W462" s="32"/>
      <c r="X462" s="32"/>
      <c r="Y462" s="32"/>
      <c r="Z462" s="32"/>
      <c r="AA462" s="32"/>
    </row>
    <row r="463" spans="14:27">
      <c r="N463" s="32"/>
      <c r="O463" s="32"/>
      <c r="P463" s="32"/>
      <c r="Q463" s="32"/>
      <c r="R463" s="32"/>
      <c r="S463" s="32">
        <f t="shared" si="7"/>
        <v>0</v>
      </c>
      <c r="T463" s="32">
        <v>0</v>
      </c>
      <c r="U463" s="32"/>
      <c r="V463" s="32"/>
      <c r="W463" s="32"/>
      <c r="X463" s="32"/>
      <c r="Y463" s="32"/>
      <c r="Z463" s="32"/>
      <c r="AA463" s="32"/>
    </row>
    <row r="464" spans="14:27">
      <c r="N464" s="32"/>
      <c r="O464" s="32"/>
      <c r="P464" s="32"/>
      <c r="Q464" s="32"/>
      <c r="R464" s="32"/>
      <c r="S464" s="32">
        <f t="shared" si="7"/>
        <v>0</v>
      </c>
      <c r="T464" s="32">
        <v>0</v>
      </c>
      <c r="U464" s="32"/>
      <c r="V464" s="32"/>
      <c r="W464" s="32"/>
      <c r="X464" s="32"/>
      <c r="Y464" s="32"/>
      <c r="Z464" s="32"/>
      <c r="AA464" s="32"/>
    </row>
    <row r="465" spans="14:27">
      <c r="N465" s="32"/>
      <c r="O465" s="32"/>
      <c r="P465" s="32"/>
      <c r="Q465" s="32"/>
      <c r="R465" s="32"/>
      <c r="S465" s="32">
        <f t="shared" si="7"/>
        <v>0</v>
      </c>
      <c r="T465" s="32">
        <v>0</v>
      </c>
      <c r="U465" s="32"/>
      <c r="V465" s="32"/>
      <c r="W465" s="32"/>
      <c r="X465" s="32"/>
      <c r="Y465" s="32"/>
      <c r="Z465" s="32"/>
      <c r="AA465" s="32"/>
    </row>
    <row r="466" spans="14:27">
      <c r="N466" s="32"/>
      <c r="O466" s="32"/>
      <c r="P466" s="32"/>
      <c r="Q466" s="32"/>
      <c r="R466" s="32"/>
      <c r="S466" s="32">
        <f t="shared" si="7"/>
        <v>0</v>
      </c>
      <c r="T466" s="32">
        <v>0</v>
      </c>
      <c r="U466" s="32"/>
      <c r="V466" s="32"/>
      <c r="W466" s="32"/>
      <c r="X466" s="32"/>
      <c r="Y466" s="32"/>
      <c r="Z466" s="32"/>
      <c r="AA466" s="32"/>
    </row>
    <row r="467" spans="14:27">
      <c r="N467" s="32"/>
      <c r="O467" s="32"/>
      <c r="P467" s="32"/>
      <c r="Q467" s="32"/>
      <c r="R467" s="32"/>
      <c r="S467" s="32">
        <f t="shared" si="7"/>
        <v>0</v>
      </c>
      <c r="T467" s="32">
        <v>0</v>
      </c>
      <c r="U467" s="32"/>
      <c r="V467" s="32"/>
      <c r="W467" s="32"/>
      <c r="X467" s="32"/>
      <c r="Y467" s="32"/>
      <c r="Z467" s="32"/>
      <c r="AA467" s="32"/>
    </row>
    <row r="468" spans="14:27">
      <c r="N468" s="32"/>
      <c r="O468" s="32"/>
      <c r="P468" s="32"/>
      <c r="Q468" s="32"/>
      <c r="R468" s="32"/>
      <c r="S468" s="32">
        <f t="shared" si="7"/>
        <v>0</v>
      </c>
      <c r="T468" s="32">
        <v>0</v>
      </c>
      <c r="U468" s="32"/>
      <c r="V468" s="32"/>
      <c r="W468" s="32"/>
      <c r="X468" s="32"/>
      <c r="Y468" s="32"/>
      <c r="Z468" s="32"/>
      <c r="AA468" s="32"/>
    </row>
    <row r="469" spans="14:27">
      <c r="N469" s="32"/>
      <c r="O469" s="32"/>
      <c r="P469" s="32"/>
      <c r="Q469" s="32"/>
      <c r="R469" s="32"/>
      <c r="S469" s="32">
        <f t="shared" si="7"/>
        <v>0</v>
      </c>
      <c r="T469" s="32">
        <v>0</v>
      </c>
      <c r="U469" s="32"/>
      <c r="V469" s="32"/>
      <c r="W469" s="32"/>
      <c r="X469" s="32"/>
      <c r="Y469" s="32"/>
      <c r="Z469" s="32"/>
      <c r="AA469" s="32"/>
    </row>
    <row r="470" spans="14:27">
      <c r="N470" s="32"/>
      <c r="O470" s="32"/>
      <c r="P470" s="32"/>
      <c r="Q470" s="32"/>
      <c r="R470" s="32"/>
      <c r="S470" s="32">
        <f t="shared" si="7"/>
        <v>0</v>
      </c>
      <c r="T470" s="32">
        <v>0</v>
      </c>
      <c r="U470" s="32"/>
      <c r="V470" s="32"/>
      <c r="W470" s="32"/>
      <c r="X470" s="32"/>
      <c r="Y470" s="32"/>
      <c r="Z470" s="32"/>
      <c r="AA470" s="32"/>
    </row>
    <row r="471" spans="14:27">
      <c r="N471" s="32"/>
      <c r="O471" s="32"/>
      <c r="P471" s="32"/>
      <c r="Q471" s="32"/>
      <c r="R471" s="32"/>
      <c r="S471" s="32">
        <f t="shared" si="7"/>
        <v>0</v>
      </c>
      <c r="T471" s="32">
        <v>0</v>
      </c>
      <c r="U471" s="32"/>
      <c r="V471" s="32"/>
      <c r="W471" s="32"/>
      <c r="X471" s="32"/>
      <c r="Y471" s="32"/>
      <c r="Z471" s="32"/>
      <c r="AA471" s="32"/>
    </row>
    <row r="472" spans="14:27">
      <c r="N472" s="32"/>
      <c r="O472" s="32"/>
      <c r="P472" s="32"/>
      <c r="Q472" s="32"/>
      <c r="R472" s="32"/>
      <c r="S472" s="32">
        <f t="shared" si="7"/>
        <v>0</v>
      </c>
      <c r="T472" s="32">
        <v>0</v>
      </c>
      <c r="U472" s="32"/>
      <c r="V472" s="32"/>
      <c r="W472" s="32"/>
      <c r="X472" s="32"/>
      <c r="Y472" s="32"/>
      <c r="Z472" s="32"/>
      <c r="AA472" s="32"/>
    </row>
    <row r="473" spans="14:27">
      <c r="N473" s="32"/>
      <c r="O473" s="32"/>
      <c r="P473" s="32"/>
      <c r="Q473" s="32"/>
      <c r="R473" s="32"/>
      <c r="S473" s="32">
        <f t="shared" si="7"/>
        <v>0</v>
      </c>
      <c r="T473" s="32">
        <v>0</v>
      </c>
      <c r="U473" s="32"/>
      <c r="V473" s="32"/>
      <c r="W473" s="32"/>
      <c r="X473" s="32"/>
      <c r="Y473" s="32"/>
      <c r="Z473" s="32"/>
      <c r="AA473" s="32"/>
    </row>
    <row r="474" spans="14:27">
      <c r="N474" s="32"/>
      <c r="O474" s="32"/>
      <c r="P474" s="32"/>
      <c r="Q474" s="32"/>
      <c r="R474" s="32"/>
      <c r="S474" s="32">
        <f t="shared" si="7"/>
        <v>0</v>
      </c>
      <c r="T474" s="32">
        <v>0</v>
      </c>
      <c r="U474" s="32"/>
      <c r="V474" s="32"/>
      <c r="W474" s="32"/>
      <c r="X474" s="32"/>
      <c r="Y474" s="32"/>
      <c r="Z474" s="32"/>
      <c r="AA474" s="32"/>
    </row>
    <row r="475" spans="14:27">
      <c r="N475" s="32"/>
      <c r="O475" s="32"/>
      <c r="P475" s="32"/>
      <c r="Q475" s="32"/>
      <c r="R475" s="32"/>
      <c r="S475" s="32">
        <f t="shared" si="7"/>
        <v>0</v>
      </c>
      <c r="T475" s="32">
        <v>0</v>
      </c>
      <c r="U475" s="32"/>
      <c r="V475" s="32"/>
      <c r="W475" s="32"/>
      <c r="X475" s="32"/>
      <c r="Y475" s="32"/>
      <c r="Z475" s="32"/>
      <c r="AA475" s="32"/>
    </row>
    <row r="476" spans="14:27">
      <c r="N476" s="32"/>
      <c r="O476" s="32"/>
      <c r="P476" s="32"/>
      <c r="Q476" s="32"/>
      <c r="R476" s="32"/>
      <c r="S476" s="32">
        <f t="shared" si="7"/>
        <v>0</v>
      </c>
      <c r="T476" s="32">
        <v>0</v>
      </c>
      <c r="U476" s="32"/>
      <c r="V476" s="32"/>
      <c r="W476" s="32"/>
      <c r="X476" s="32"/>
      <c r="Y476" s="32"/>
      <c r="Z476" s="32"/>
      <c r="AA476" s="32"/>
    </row>
    <row r="477" spans="14:27">
      <c r="N477" s="32"/>
      <c r="O477" s="32"/>
      <c r="P477" s="32"/>
      <c r="Q477" s="32"/>
      <c r="R477" s="32"/>
      <c r="S477" s="32">
        <f t="shared" si="7"/>
        <v>0</v>
      </c>
      <c r="T477" s="32">
        <v>0</v>
      </c>
      <c r="U477" s="32"/>
      <c r="V477" s="32"/>
      <c r="W477" s="32"/>
      <c r="X477" s="32"/>
      <c r="Y477" s="32"/>
      <c r="Z477" s="32"/>
      <c r="AA477" s="32"/>
    </row>
    <row r="478" spans="14:27">
      <c r="N478" s="32"/>
      <c r="O478" s="32"/>
      <c r="P478" s="32"/>
      <c r="Q478" s="32"/>
      <c r="R478" s="32"/>
      <c r="S478" s="32">
        <f t="shared" si="7"/>
        <v>0</v>
      </c>
      <c r="T478" s="32">
        <v>0</v>
      </c>
      <c r="U478" s="32"/>
      <c r="V478" s="32"/>
      <c r="W478" s="32"/>
      <c r="X478" s="32"/>
      <c r="Y478" s="32"/>
      <c r="Z478" s="32"/>
      <c r="AA478" s="32"/>
    </row>
    <row r="479" spans="14:27">
      <c r="N479" s="32"/>
      <c r="O479" s="32"/>
      <c r="P479" s="32"/>
      <c r="Q479" s="32"/>
      <c r="R479" s="32"/>
      <c r="S479" s="32">
        <f t="shared" si="7"/>
        <v>0</v>
      </c>
      <c r="T479" s="32">
        <v>0</v>
      </c>
      <c r="U479" s="32"/>
      <c r="V479" s="32"/>
      <c r="W479" s="32"/>
      <c r="X479" s="32"/>
      <c r="Y479" s="32"/>
      <c r="Z479" s="32"/>
      <c r="AA479" s="32"/>
    </row>
    <row r="480" spans="14:27">
      <c r="N480" s="32"/>
      <c r="O480" s="32"/>
      <c r="P480" s="32"/>
      <c r="Q480" s="32"/>
      <c r="R480" s="32"/>
      <c r="S480" s="32">
        <f t="shared" si="7"/>
        <v>0</v>
      </c>
      <c r="T480" s="32">
        <v>0</v>
      </c>
      <c r="U480" s="32"/>
      <c r="V480" s="32"/>
      <c r="W480" s="32"/>
      <c r="X480" s="32"/>
      <c r="Y480" s="32"/>
      <c r="Z480" s="32"/>
      <c r="AA480" s="32"/>
    </row>
    <row r="481" spans="14:27">
      <c r="N481" s="32"/>
      <c r="O481" s="32"/>
      <c r="P481" s="32"/>
      <c r="Q481" s="32"/>
      <c r="R481" s="32"/>
      <c r="S481" s="32">
        <f t="shared" si="7"/>
        <v>0</v>
      </c>
      <c r="T481" s="32">
        <v>0</v>
      </c>
      <c r="U481" s="32"/>
      <c r="V481" s="32"/>
      <c r="W481" s="32"/>
      <c r="X481" s="32"/>
      <c r="Y481" s="32"/>
      <c r="Z481" s="32"/>
      <c r="AA481" s="32"/>
    </row>
    <row r="482" spans="14:27">
      <c r="N482" s="32"/>
      <c r="O482" s="32"/>
      <c r="P482" s="32"/>
      <c r="Q482" s="32"/>
      <c r="R482" s="32"/>
      <c r="S482" s="32">
        <f t="shared" si="7"/>
        <v>0</v>
      </c>
      <c r="T482" s="32">
        <v>0</v>
      </c>
      <c r="U482" s="32"/>
      <c r="V482" s="32"/>
      <c r="W482" s="32"/>
      <c r="X482" s="32"/>
      <c r="Y482" s="32"/>
      <c r="Z482" s="32"/>
      <c r="AA482" s="32"/>
    </row>
    <row r="483" spans="14:27">
      <c r="N483" s="32"/>
      <c r="O483" s="32"/>
      <c r="P483" s="32"/>
      <c r="Q483" s="32"/>
      <c r="R483" s="32"/>
      <c r="S483" s="32">
        <f t="shared" si="7"/>
        <v>0</v>
      </c>
      <c r="T483" s="32">
        <v>0</v>
      </c>
      <c r="U483" s="32"/>
      <c r="V483" s="32"/>
      <c r="W483" s="32"/>
      <c r="X483" s="32"/>
      <c r="Y483" s="32"/>
      <c r="Z483" s="32"/>
      <c r="AA483" s="32"/>
    </row>
    <row r="484" spans="14:27">
      <c r="N484" s="32"/>
      <c r="O484" s="32"/>
      <c r="P484" s="32"/>
      <c r="Q484" s="32"/>
      <c r="R484" s="32"/>
      <c r="S484" s="32">
        <f t="shared" si="7"/>
        <v>0</v>
      </c>
      <c r="T484" s="32">
        <v>0</v>
      </c>
      <c r="U484" s="32"/>
      <c r="V484" s="32"/>
      <c r="W484" s="32"/>
      <c r="X484" s="32"/>
      <c r="Y484" s="32"/>
      <c r="Z484" s="32"/>
      <c r="AA484" s="32"/>
    </row>
    <row r="485" spans="14:27">
      <c r="N485" s="32"/>
      <c r="O485" s="32"/>
      <c r="P485" s="32"/>
      <c r="Q485" s="32"/>
      <c r="R485" s="32"/>
      <c r="S485" s="32">
        <f t="shared" si="7"/>
        <v>0</v>
      </c>
      <c r="T485" s="32">
        <v>0</v>
      </c>
      <c r="U485" s="32"/>
      <c r="V485" s="32"/>
      <c r="W485" s="32"/>
      <c r="X485" s="32"/>
      <c r="Y485" s="32"/>
      <c r="Z485" s="32"/>
      <c r="AA485" s="32"/>
    </row>
    <row r="486" spans="14:27">
      <c r="N486" s="32"/>
      <c r="O486" s="32"/>
      <c r="P486" s="32"/>
      <c r="Q486" s="32"/>
      <c r="R486" s="32"/>
      <c r="S486" s="32">
        <f t="shared" si="7"/>
        <v>0</v>
      </c>
      <c r="T486" s="32">
        <v>0</v>
      </c>
      <c r="U486" s="32"/>
      <c r="V486" s="32"/>
      <c r="W486" s="32"/>
      <c r="X486" s="32"/>
      <c r="Y486" s="32"/>
      <c r="Z486" s="32"/>
      <c r="AA486" s="32"/>
    </row>
    <row r="487" spans="14:27">
      <c r="N487" s="32"/>
      <c r="O487" s="32"/>
      <c r="P487" s="32"/>
      <c r="Q487" s="32"/>
      <c r="R487" s="32"/>
      <c r="S487" s="32">
        <f t="shared" si="7"/>
        <v>0</v>
      </c>
      <c r="T487" s="32">
        <v>0</v>
      </c>
      <c r="U487" s="32"/>
      <c r="V487" s="32"/>
      <c r="W487" s="32"/>
      <c r="X487" s="32"/>
      <c r="Y487" s="32"/>
      <c r="Z487" s="32"/>
      <c r="AA487" s="32"/>
    </row>
    <row r="488" spans="14:27">
      <c r="N488" s="32"/>
      <c r="O488" s="32"/>
      <c r="P488" s="32"/>
      <c r="Q488" s="32"/>
      <c r="R488" s="32"/>
      <c r="S488" s="32">
        <f t="shared" si="7"/>
        <v>0</v>
      </c>
      <c r="T488" s="32">
        <v>0</v>
      </c>
      <c r="U488" s="32"/>
      <c r="V488" s="32"/>
      <c r="W488" s="32"/>
      <c r="X488" s="32"/>
      <c r="Y488" s="32"/>
      <c r="Z488" s="32"/>
      <c r="AA488" s="32"/>
    </row>
    <row r="489" spans="14:27">
      <c r="N489" s="32"/>
      <c r="O489" s="32"/>
      <c r="P489" s="32"/>
      <c r="Q489" s="32"/>
      <c r="R489" s="32"/>
      <c r="S489" s="32">
        <f t="shared" si="7"/>
        <v>0</v>
      </c>
      <c r="T489" s="32">
        <v>0</v>
      </c>
      <c r="U489" s="32"/>
      <c r="V489" s="32"/>
      <c r="W489" s="32"/>
      <c r="X489" s="32"/>
      <c r="Y489" s="32"/>
      <c r="Z489" s="32"/>
      <c r="AA489" s="32"/>
    </row>
    <row r="490" spans="14:27">
      <c r="N490" s="32"/>
      <c r="O490" s="32"/>
      <c r="P490" s="32"/>
      <c r="Q490" s="32"/>
      <c r="R490" s="32"/>
      <c r="S490" s="32">
        <f t="shared" si="7"/>
        <v>0</v>
      </c>
      <c r="T490" s="32">
        <v>0</v>
      </c>
      <c r="U490" s="32"/>
      <c r="V490" s="32"/>
      <c r="W490" s="32"/>
      <c r="X490" s="32"/>
      <c r="Y490" s="32"/>
      <c r="Z490" s="32"/>
      <c r="AA490" s="32"/>
    </row>
    <row r="491" spans="14:27">
      <c r="N491" s="32"/>
      <c r="O491" s="32"/>
      <c r="P491" s="32"/>
      <c r="Q491" s="32"/>
      <c r="R491" s="32"/>
      <c r="S491" s="32">
        <f t="shared" si="7"/>
        <v>0</v>
      </c>
      <c r="T491" s="32">
        <v>0</v>
      </c>
      <c r="U491" s="32"/>
      <c r="V491" s="32"/>
      <c r="W491" s="32"/>
      <c r="X491" s="32"/>
      <c r="Y491" s="32"/>
      <c r="Z491" s="32"/>
      <c r="AA491" s="32"/>
    </row>
    <row r="492" spans="14:27">
      <c r="N492" s="32"/>
      <c r="O492" s="32"/>
      <c r="P492" s="32"/>
      <c r="Q492" s="32"/>
      <c r="R492" s="32"/>
      <c r="S492" s="32">
        <f t="shared" si="7"/>
        <v>0</v>
      </c>
      <c r="T492" s="32">
        <v>0</v>
      </c>
      <c r="U492" s="32"/>
      <c r="V492" s="32"/>
      <c r="W492" s="32"/>
      <c r="X492" s="32"/>
      <c r="Y492" s="32"/>
      <c r="Z492" s="32"/>
      <c r="AA492" s="32"/>
    </row>
    <row r="493" spans="14:27">
      <c r="N493" s="32"/>
      <c r="O493" s="32"/>
      <c r="P493" s="32"/>
      <c r="Q493" s="32"/>
      <c r="R493" s="32"/>
      <c r="S493" s="32">
        <f t="shared" si="7"/>
        <v>0</v>
      </c>
      <c r="T493" s="32">
        <v>0</v>
      </c>
      <c r="U493" s="32"/>
      <c r="V493" s="32"/>
      <c r="W493" s="32"/>
      <c r="X493" s="32"/>
      <c r="Y493" s="32"/>
      <c r="Z493" s="32"/>
      <c r="AA493" s="32"/>
    </row>
    <row r="494" spans="14:27">
      <c r="N494" s="32"/>
      <c r="O494" s="32"/>
      <c r="P494" s="32"/>
      <c r="Q494" s="32"/>
      <c r="R494" s="32"/>
      <c r="S494" s="32">
        <f t="shared" si="7"/>
        <v>0</v>
      </c>
      <c r="T494" s="32">
        <v>0</v>
      </c>
      <c r="U494" s="32"/>
      <c r="V494" s="32"/>
      <c r="W494" s="32"/>
      <c r="X494" s="32"/>
      <c r="Y494" s="32"/>
      <c r="Z494" s="32"/>
      <c r="AA494" s="32"/>
    </row>
    <row r="495" spans="14:27">
      <c r="N495" s="32"/>
      <c r="O495" s="32"/>
      <c r="P495" s="32"/>
      <c r="Q495" s="32"/>
      <c r="R495" s="32"/>
      <c r="S495" s="32">
        <f t="shared" si="7"/>
        <v>0</v>
      </c>
      <c r="T495" s="32">
        <v>0</v>
      </c>
      <c r="U495" s="32"/>
      <c r="V495" s="32"/>
      <c r="W495" s="32"/>
      <c r="X495" s="32"/>
      <c r="Y495" s="32"/>
      <c r="Z495" s="32"/>
      <c r="AA495" s="32"/>
    </row>
    <row r="496" spans="14:27">
      <c r="N496" s="32"/>
      <c r="O496" s="32"/>
      <c r="P496" s="32"/>
      <c r="Q496" s="32"/>
      <c r="R496" s="32"/>
      <c r="S496" s="32">
        <f t="shared" si="7"/>
        <v>0</v>
      </c>
      <c r="T496" s="32">
        <v>0</v>
      </c>
      <c r="U496" s="32"/>
      <c r="V496" s="32"/>
      <c r="W496" s="32"/>
      <c r="X496" s="32"/>
      <c r="Y496" s="32"/>
      <c r="Z496" s="32"/>
      <c r="AA496" s="32"/>
    </row>
    <row r="497" spans="14:27">
      <c r="N497" s="32"/>
      <c r="O497" s="32"/>
      <c r="P497" s="32"/>
      <c r="Q497" s="32"/>
      <c r="R497" s="32"/>
      <c r="S497" s="32">
        <f t="shared" si="7"/>
        <v>0</v>
      </c>
      <c r="T497" s="32">
        <v>0</v>
      </c>
      <c r="U497" s="32"/>
      <c r="V497" s="32"/>
      <c r="W497" s="32"/>
      <c r="X497" s="32"/>
      <c r="Y497" s="32"/>
      <c r="Z497" s="32"/>
      <c r="AA497" s="32"/>
    </row>
    <row r="498" spans="14:27">
      <c r="N498" s="32"/>
      <c r="O498" s="32"/>
      <c r="P498" s="32"/>
      <c r="Q498" s="32"/>
      <c r="R498" s="32"/>
      <c r="S498" s="32">
        <f t="shared" si="7"/>
        <v>0</v>
      </c>
      <c r="T498" s="32">
        <v>0</v>
      </c>
      <c r="U498" s="32"/>
      <c r="V498" s="32"/>
      <c r="W498" s="32"/>
      <c r="X498" s="32"/>
      <c r="Y498" s="32"/>
      <c r="Z498" s="32"/>
      <c r="AA498" s="32"/>
    </row>
    <row r="499" spans="14:27">
      <c r="N499" s="32"/>
      <c r="O499" s="32"/>
      <c r="P499" s="32"/>
      <c r="Q499" s="32"/>
      <c r="R499" s="32"/>
      <c r="S499" s="32">
        <f t="shared" si="7"/>
        <v>0</v>
      </c>
      <c r="T499" s="32">
        <v>0</v>
      </c>
      <c r="U499" s="32"/>
      <c r="V499" s="32"/>
      <c r="W499" s="32"/>
      <c r="X499" s="32"/>
      <c r="Y499" s="32"/>
      <c r="Z499" s="32"/>
      <c r="AA499" s="32"/>
    </row>
    <row r="500" spans="14:27">
      <c r="N500" s="32"/>
      <c r="O500" s="32"/>
      <c r="P500" s="32"/>
      <c r="Q500" s="32"/>
      <c r="R500" s="32"/>
      <c r="S500" s="32">
        <f t="shared" si="7"/>
        <v>0</v>
      </c>
      <c r="T500" s="32">
        <v>0</v>
      </c>
      <c r="U500" s="32"/>
      <c r="V500" s="32"/>
      <c r="W500" s="32"/>
      <c r="X500" s="32"/>
      <c r="Y500" s="32"/>
      <c r="Z500" s="32"/>
      <c r="AA500" s="32"/>
    </row>
    <row r="501" spans="14:27">
      <c r="N501" s="32"/>
      <c r="O501" s="32"/>
      <c r="P501" s="32"/>
      <c r="Q501" s="32"/>
      <c r="R501" s="32"/>
      <c r="S501" s="32">
        <f t="shared" si="7"/>
        <v>0</v>
      </c>
      <c r="T501" s="32">
        <v>0</v>
      </c>
      <c r="U501" s="32"/>
      <c r="V501" s="32"/>
      <c r="W501" s="32"/>
      <c r="X501" s="32"/>
      <c r="Y501" s="32"/>
      <c r="Z501" s="32"/>
      <c r="AA501" s="32"/>
    </row>
    <row r="502" spans="14:27">
      <c r="N502" s="32"/>
      <c r="O502" s="32"/>
      <c r="P502" s="32"/>
      <c r="Q502" s="32"/>
      <c r="R502" s="32"/>
      <c r="S502" s="32">
        <f t="shared" si="7"/>
        <v>0</v>
      </c>
      <c r="T502" s="32">
        <v>0</v>
      </c>
      <c r="U502" s="32"/>
      <c r="V502" s="32"/>
      <c r="W502" s="32"/>
      <c r="X502" s="32"/>
      <c r="Y502" s="32"/>
      <c r="Z502" s="32"/>
      <c r="AA502" s="32"/>
    </row>
    <row r="503" spans="14:27">
      <c r="N503" s="32"/>
      <c r="O503" s="32"/>
      <c r="P503" s="32"/>
      <c r="Q503" s="32"/>
      <c r="R503" s="32"/>
      <c r="S503" s="32">
        <f t="shared" si="7"/>
        <v>0</v>
      </c>
      <c r="T503" s="32">
        <v>0</v>
      </c>
      <c r="U503" s="32"/>
      <c r="V503" s="32"/>
      <c r="W503" s="32"/>
      <c r="X503" s="32"/>
      <c r="Y503" s="32"/>
      <c r="Z503" s="32"/>
      <c r="AA503" s="32"/>
    </row>
    <row r="504" spans="14:27">
      <c r="N504" s="32"/>
      <c r="O504" s="32"/>
      <c r="P504" s="32"/>
      <c r="Q504" s="32"/>
      <c r="R504" s="32"/>
      <c r="S504" s="32">
        <f t="shared" si="7"/>
        <v>0</v>
      </c>
      <c r="T504" s="32">
        <v>0</v>
      </c>
      <c r="U504" s="32"/>
      <c r="V504" s="32"/>
      <c r="W504" s="32"/>
      <c r="X504" s="32"/>
      <c r="Y504" s="32"/>
      <c r="Z504" s="32"/>
      <c r="AA504" s="32"/>
    </row>
    <row r="505" spans="14:27">
      <c r="N505" s="32"/>
      <c r="O505" s="32"/>
      <c r="P505" s="32"/>
      <c r="Q505" s="32"/>
      <c r="R505" s="32"/>
      <c r="S505" s="32">
        <f t="shared" si="7"/>
        <v>0</v>
      </c>
      <c r="T505" s="32">
        <v>0</v>
      </c>
      <c r="U505" s="32"/>
      <c r="V505" s="32"/>
      <c r="W505" s="32"/>
      <c r="X505" s="32"/>
      <c r="Y505" s="32"/>
      <c r="Z505" s="32"/>
      <c r="AA505" s="32"/>
    </row>
    <row r="506" spans="14:27">
      <c r="N506" s="32"/>
      <c r="O506" s="32"/>
      <c r="P506" s="32"/>
      <c r="Q506" s="32"/>
      <c r="R506" s="32"/>
      <c r="S506" s="32">
        <f t="shared" si="7"/>
        <v>0</v>
      </c>
      <c r="T506" s="32">
        <v>0</v>
      </c>
      <c r="U506" s="32"/>
      <c r="V506" s="32"/>
      <c r="W506" s="32"/>
      <c r="X506" s="32"/>
      <c r="Y506" s="32"/>
      <c r="Z506" s="32"/>
      <c r="AA506" s="32"/>
    </row>
    <row r="507" spans="14:27">
      <c r="N507" s="32"/>
      <c r="O507" s="32"/>
      <c r="P507" s="32"/>
      <c r="Q507" s="32"/>
      <c r="R507" s="32"/>
      <c r="S507" s="32">
        <f t="shared" si="7"/>
        <v>0</v>
      </c>
      <c r="T507" s="32">
        <v>0</v>
      </c>
      <c r="U507" s="32"/>
      <c r="V507" s="32"/>
      <c r="W507" s="32"/>
      <c r="X507" s="32"/>
      <c r="Y507" s="32"/>
      <c r="Z507" s="32"/>
      <c r="AA507" s="32"/>
    </row>
    <row r="508" spans="14:27">
      <c r="N508" s="32"/>
      <c r="O508" s="32"/>
      <c r="P508" s="32"/>
      <c r="Q508" s="32"/>
      <c r="R508" s="32"/>
      <c r="S508" s="32">
        <f t="shared" si="7"/>
        <v>0</v>
      </c>
      <c r="T508" s="32">
        <v>0</v>
      </c>
      <c r="U508" s="32"/>
      <c r="V508" s="32"/>
      <c r="W508" s="32"/>
      <c r="X508" s="32"/>
      <c r="Y508" s="32"/>
      <c r="Z508" s="32"/>
      <c r="AA508" s="32"/>
    </row>
    <row r="509" spans="14:27">
      <c r="N509" s="32"/>
      <c r="O509" s="32"/>
      <c r="P509" s="32"/>
      <c r="Q509" s="32"/>
      <c r="R509" s="32"/>
      <c r="S509" s="32">
        <f t="shared" si="7"/>
        <v>0</v>
      </c>
      <c r="T509" s="32">
        <v>0</v>
      </c>
      <c r="U509" s="32"/>
      <c r="V509" s="32"/>
      <c r="W509" s="32"/>
      <c r="X509" s="32"/>
      <c r="Y509" s="32"/>
      <c r="Z509" s="32"/>
      <c r="AA509" s="32"/>
    </row>
    <row r="510" spans="14:27">
      <c r="N510" s="32"/>
      <c r="O510" s="32"/>
      <c r="P510" s="32"/>
      <c r="Q510" s="32"/>
      <c r="R510" s="32"/>
      <c r="S510" s="32">
        <f t="shared" si="7"/>
        <v>0</v>
      </c>
      <c r="T510" s="32">
        <v>0</v>
      </c>
      <c r="U510" s="32"/>
      <c r="V510" s="32"/>
      <c r="W510" s="32"/>
      <c r="X510" s="32"/>
      <c r="Y510" s="32"/>
      <c r="Z510" s="32"/>
      <c r="AA510" s="32"/>
    </row>
    <row r="511" spans="14:27">
      <c r="N511" s="32"/>
      <c r="O511" s="32"/>
      <c r="P511" s="32"/>
      <c r="Q511" s="32"/>
      <c r="R511" s="32"/>
      <c r="S511" s="32">
        <f t="shared" si="7"/>
        <v>0</v>
      </c>
      <c r="T511" s="32">
        <v>0</v>
      </c>
      <c r="U511" s="32"/>
      <c r="V511" s="32"/>
      <c r="W511" s="32"/>
      <c r="X511" s="32"/>
      <c r="Y511" s="32"/>
      <c r="Z511" s="32"/>
      <c r="AA511" s="32"/>
    </row>
    <row r="512" spans="14:27">
      <c r="N512" s="32"/>
      <c r="O512" s="32"/>
      <c r="P512" s="32"/>
      <c r="Q512" s="32"/>
      <c r="R512" s="32"/>
      <c r="S512" s="32">
        <f t="shared" si="7"/>
        <v>0</v>
      </c>
      <c r="T512" s="32">
        <v>0</v>
      </c>
      <c r="U512" s="32"/>
      <c r="V512" s="32"/>
      <c r="W512" s="32"/>
      <c r="X512" s="32"/>
      <c r="Y512" s="32"/>
      <c r="Z512" s="32"/>
      <c r="AA512" s="32"/>
    </row>
    <row r="513" spans="14:27">
      <c r="N513" s="32"/>
      <c r="O513" s="32"/>
      <c r="P513" s="32"/>
      <c r="Q513" s="32"/>
      <c r="R513" s="32"/>
      <c r="S513" s="32">
        <f t="shared" si="7"/>
        <v>0</v>
      </c>
      <c r="T513" s="32">
        <v>0</v>
      </c>
      <c r="U513" s="32"/>
      <c r="V513" s="32"/>
      <c r="W513" s="32"/>
      <c r="X513" s="32"/>
      <c r="Y513" s="32"/>
      <c r="Z513" s="32"/>
      <c r="AA513" s="32"/>
    </row>
    <row r="514" spans="14:27">
      <c r="N514" s="32"/>
      <c r="O514" s="32"/>
      <c r="P514" s="32"/>
      <c r="Q514" s="32"/>
      <c r="R514" s="32"/>
      <c r="S514" s="32">
        <f t="shared" si="7"/>
        <v>0</v>
      </c>
      <c r="T514" s="32">
        <v>0</v>
      </c>
      <c r="U514" s="32"/>
      <c r="V514" s="32"/>
      <c r="W514" s="32"/>
      <c r="X514" s="32"/>
      <c r="Y514" s="32"/>
      <c r="Z514" s="32"/>
      <c r="AA514" s="32"/>
    </row>
    <row r="515" spans="14:27">
      <c r="N515" s="32"/>
      <c r="O515" s="32"/>
      <c r="P515" s="32"/>
      <c r="Q515" s="32"/>
      <c r="R515" s="32"/>
      <c r="S515" s="32">
        <f t="shared" si="7"/>
        <v>0</v>
      </c>
      <c r="T515" s="32">
        <v>0</v>
      </c>
      <c r="U515" s="32"/>
      <c r="V515" s="32"/>
      <c r="W515" s="32"/>
      <c r="X515" s="32"/>
      <c r="Y515" s="32"/>
      <c r="Z515" s="32"/>
      <c r="AA515" s="32"/>
    </row>
    <row r="516" spans="14:27">
      <c r="N516" s="32"/>
      <c r="O516" s="32"/>
      <c r="P516" s="32"/>
      <c r="Q516" s="32"/>
      <c r="R516" s="32"/>
      <c r="S516" s="32">
        <f t="shared" si="7"/>
        <v>0</v>
      </c>
      <c r="T516" s="32">
        <v>0</v>
      </c>
      <c r="U516" s="32"/>
      <c r="V516" s="32"/>
      <c r="W516" s="32"/>
      <c r="X516" s="32"/>
      <c r="Y516" s="32"/>
      <c r="Z516" s="32"/>
      <c r="AA516" s="32"/>
    </row>
    <row r="517" spans="14:27">
      <c r="N517" s="32"/>
      <c r="O517" s="32"/>
      <c r="P517" s="32"/>
      <c r="Q517" s="32"/>
      <c r="R517" s="32"/>
      <c r="S517" s="32">
        <f t="shared" si="7"/>
        <v>0</v>
      </c>
      <c r="T517" s="32">
        <v>0</v>
      </c>
      <c r="U517" s="32"/>
      <c r="V517" s="32"/>
      <c r="W517" s="32"/>
      <c r="X517" s="32"/>
      <c r="Y517" s="32"/>
      <c r="Z517" s="32"/>
      <c r="AA517" s="32"/>
    </row>
    <row r="518" spans="14:27">
      <c r="N518" s="32"/>
      <c r="O518" s="32"/>
      <c r="P518" s="32"/>
      <c r="Q518" s="32"/>
      <c r="R518" s="32"/>
      <c r="S518" s="32">
        <f t="shared" si="7"/>
        <v>0</v>
      </c>
      <c r="T518" s="32">
        <v>0</v>
      </c>
      <c r="U518" s="32"/>
      <c r="V518" s="32"/>
      <c r="W518" s="32"/>
      <c r="X518" s="32"/>
      <c r="Y518" s="32"/>
      <c r="Z518" s="32"/>
      <c r="AA518" s="32"/>
    </row>
    <row r="519" spans="14:27">
      <c r="N519" s="32"/>
      <c r="O519" s="32"/>
      <c r="P519" s="32"/>
      <c r="Q519" s="32"/>
      <c r="R519" s="32"/>
      <c r="S519" s="32">
        <f t="shared" si="7"/>
        <v>0</v>
      </c>
      <c r="T519" s="32">
        <v>0</v>
      </c>
      <c r="U519" s="32"/>
      <c r="V519" s="32"/>
      <c r="W519" s="32"/>
      <c r="X519" s="32"/>
      <c r="Y519" s="32"/>
      <c r="Z519" s="32"/>
      <c r="AA519" s="32"/>
    </row>
    <row r="520" spans="14:27">
      <c r="N520" s="32"/>
      <c r="O520" s="32"/>
      <c r="P520" s="32"/>
      <c r="Q520" s="32"/>
      <c r="R520" s="32"/>
      <c r="S520" s="32">
        <f t="shared" si="7"/>
        <v>0</v>
      </c>
      <c r="T520" s="32">
        <v>0</v>
      </c>
      <c r="U520" s="32"/>
      <c r="V520" s="32"/>
      <c r="W520" s="32"/>
      <c r="X520" s="32"/>
      <c r="Y520" s="32"/>
      <c r="Z520" s="32"/>
      <c r="AA520" s="32"/>
    </row>
    <row r="521" spans="14:27">
      <c r="N521" s="32"/>
      <c r="O521" s="32"/>
      <c r="P521" s="32"/>
      <c r="Q521" s="32"/>
      <c r="R521" s="32"/>
      <c r="S521" s="32">
        <f t="shared" si="7"/>
        <v>0</v>
      </c>
      <c r="T521" s="32">
        <v>0</v>
      </c>
      <c r="U521" s="32"/>
      <c r="V521" s="32"/>
      <c r="W521" s="32"/>
      <c r="X521" s="32"/>
      <c r="Y521" s="32"/>
      <c r="Z521" s="32"/>
      <c r="AA521" s="32"/>
    </row>
    <row r="522" spans="14:27">
      <c r="N522" s="32"/>
      <c r="O522" s="32"/>
      <c r="P522" s="32"/>
      <c r="Q522" s="32"/>
      <c r="R522" s="32"/>
      <c r="S522" s="32">
        <f t="shared" ref="S522:S585" si="8">IF(R522&lt;&gt;1,0,--OR(U522=1,AND($O$2&gt;=2,V522=1),AND($O$2&gt;=3,W522=1),AND($O$2&gt;=4,X522=1),AND($O$2&gt;=5,Y522=1)))</f>
        <v>0</v>
      </c>
      <c r="T522" s="32">
        <v>0</v>
      </c>
      <c r="U522" s="32"/>
      <c r="V522" s="32"/>
      <c r="W522" s="32"/>
      <c r="X522" s="32"/>
      <c r="Y522" s="32"/>
      <c r="Z522" s="32"/>
      <c r="AA522" s="32"/>
    </row>
    <row r="523" spans="14:27">
      <c r="N523" s="32"/>
      <c r="O523" s="32"/>
      <c r="P523" s="32"/>
      <c r="Q523" s="32"/>
      <c r="R523" s="32"/>
      <c r="S523" s="32">
        <f t="shared" si="8"/>
        <v>0</v>
      </c>
      <c r="T523" s="32">
        <v>0</v>
      </c>
      <c r="U523" s="32"/>
      <c r="V523" s="32"/>
      <c r="W523" s="32"/>
      <c r="X523" s="32"/>
      <c r="Y523" s="32"/>
      <c r="Z523" s="32"/>
      <c r="AA523" s="32"/>
    </row>
    <row r="524" spans="14:27">
      <c r="N524" s="32"/>
      <c r="O524" s="32"/>
      <c r="P524" s="32"/>
      <c r="Q524" s="32"/>
      <c r="R524" s="32"/>
      <c r="S524" s="32">
        <f t="shared" si="8"/>
        <v>0</v>
      </c>
      <c r="T524" s="32">
        <v>0</v>
      </c>
      <c r="U524" s="32"/>
      <c r="V524" s="32"/>
      <c r="W524" s="32"/>
      <c r="X524" s="32"/>
      <c r="Y524" s="32"/>
      <c r="Z524" s="32"/>
      <c r="AA524" s="32"/>
    </row>
    <row r="525" spans="14:27">
      <c r="N525" s="32"/>
      <c r="O525" s="32"/>
      <c r="P525" s="32"/>
      <c r="Q525" s="32"/>
      <c r="R525" s="32"/>
      <c r="S525" s="32">
        <f t="shared" si="8"/>
        <v>0</v>
      </c>
      <c r="T525" s="32">
        <v>0</v>
      </c>
      <c r="U525" s="32"/>
      <c r="V525" s="32"/>
      <c r="W525" s="32"/>
      <c r="X525" s="32"/>
      <c r="Y525" s="32"/>
      <c r="Z525" s="32"/>
      <c r="AA525" s="32"/>
    </row>
    <row r="526" spans="14:27">
      <c r="N526" s="32"/>
      <c r="O526" s="32"/>
      <c r="P526" s="32"/>
      <c r="Q526" s="32"/>
      <c r="R526" s="32"/>
      <c r="S526" s="32">
        <f t="shared" si="8"/>
        <v>0</v>
      </c>
      <c r="T526" s="32">
        <v>0</v>
      </c>
      <c r="U526" s="32"/>
      <c r="V526" s="32"/>
      <c r="W526" s="32"/>
      <c r="X526" s="32"/>
      <c r="Y526" s="32"/>
      <c r="Z526" s="32"/>
      <c r="AA526" s="32"/>
    </row>
    <row r="527" spans="14:27">
      <c r="N527" s="32"/>
      <c r="O527" s="32"/>
      <c r="P527" s="32"/>
      <c r="Q527" s="32"/>
      <c r="R527" s="32"/>
      <c r="S527" s="32">
        <f t="shared" si="8"/>
        <v>0</v>
      </c>
      <c r="T527" s="32">
        <v>0</v>
      </c>
      <c r="U527" s="32"/>
      <c r="V527" s="32"/>
      <c r="W527" s="32"/>
      <c r="X527" s="32"/>
      <c r="Y527" s="32"/>
      <c r="Z527" s="32"/>
      <c r="AA527" s="32"/>
    </row>
    <row r="528" spans="14:27">
      <c r="N528" s="32"/>
      <c r="O528" s="32"/>
      <c r="P528" s="32"/>
      <c r="Q528" s="32"/>
      <c r="R528" s="32"/>
      <c r="S528" s="32">
        <f t="shared" si="8"/>
        <v>0</v>
      </c>
      <c r="T528" s="32">
        <v>0</v>
      </c>
      <c r="U528" s="32"/>
      <c r="V528" s="32"/>
      <c r="W528" s="32"/>
      <c r="X528" s="32"/>
      <c r="Y528" s="32"/>
      <c r="Z528" s="32"/>
      <c r="AA528" s="32"/>
    </row>
    <row r="529" spans="14:27">
      <c r="N529" s="32"/>
      <c r="O529" s="32"/>
      <c r="P529" s="32"/>
      <c r="Q529" s="32"/>
      <c r="R529" s="32"/>
      <c r="S529" s="32">
        <f t="shared" si="8"/>
        <v>0</v>
      </c>
      <c r="T529" s="32">
        <v>0</v>
      </c>
      <c r="U529" s="32"/>
      <c r="V529" s="32"/>
      <c r="W529" s="32"/>
      <c r="X529" s="32"/>
      <c r="Y529" s="32"/>
      <c r="Z529" s="32"/>
      <c r="AA529" s="32"/>
    </row>
    <row r="530" spans="14:27">
      <c r="N530" s="32"/>
      <c r="O530" s="32"/>
      <c r="P530" s="32"/>
      <c r="Q530" s="32"/>
      <c r="R530" s="32"/>
      <c r="S530" s="32">
        <f t="shared" si="8"/>
        <v>0</v>
      </c>
      <c r="T530" s="32">
        <v>0</v>
      </c>
      <c r="U530" s="32"/>
      <c r="V530" s="32"/>
      <c r="W530" s="32"/>
      <c r="X530" s="32"/>
      <c r="Y530" s="32"/>
      <c r="Z530" s="32"/>
      <c r="AA530" s="32"/>
    </row>
    <row r="531" spans="14:27">
      <c r="N531" s="32"/>
      <c r="O531" s="32"/>
      <c r="P531" s="32"/>
      <c r="Q531" s="32"/>
      <c r="R531" s="32"/>
      <c r="S531" s="32">
        <f t="shared" si="8"/>
        <v>0</v>
      </c>
      <c r="T531" s="32">
        <v>0</v>
      </c>
      <c r="U531" s="32"/>
      <c r="V531" s="32"/>
      <c r="W531" s="32"/>
      <c r="X531" s="32"/>
      <c r="Y531" s="32"/>
      <c r="Z531" s="32"/>
      <c r="AA531" s="32"/>
    </row>
    <row r="532" spans="14:27">
      <c r="N532" s="32"/>
      <c r="O532" s="32"/>
      <c r="P532" s="32"/>
      <c r="Q532" s="32"/>
      <c r="R532" s="32"/>
      <c r="S532" s="32">
        <f t="shared" si="8"/>
        <v>0</v>
      </c>
      <c r="T532" s="32">
        <v>0</v>
      </c>
      <c r="U532" s="32"/>
      <c r="V532" s="32"/>
      <c r="W532" s="32"/>
      <c r="X532" s="32"/>
      <c r="Y532" s="32"/>
      <c r="Z532" s="32"/>
      <c r="AA532" s="32"/>
    </row>
    <row r="533" spans="14:27">
      <c r="N533" s="32"/>
      <c r="O533" s="32"/>
      <c r="P533" s="32"/>
      <c r="Q533" s="32"/>
      <c r="R533" s="32"/>
      <c r="S533" s="32">
        <f t="shared" si="8"/>
        <v>0</v>
      </c>
      <c r="T533" s="32">
        <v>0</v>
      </c>
      <c r="U533" s="32"/>
      <c r="V533" s="32"/>
      <c r="W533" s="32"/>
      <c r="X533" s="32"/>
      <c r="Y533" s="32"/>
      <c r="Z533" s="32"/>
      <c r="AA533" s="32"/>
    </row>
    <row r="534" spans="14:27">
      <c r="N534" s="32"/>
      <c r="O534" s="32"/>
      <c r="P534" s="32"/>
      <c r="Q534" s="32"/>
      <c r="R534" s="32"/>
      <c r="S534" s="32">
        <f t="shared" si="8"/>
        <v>0</v>
      </c>
      <c r="T534" s="32">
        <v>0</v>
      </c>
      <c r="U534" s="32"/>
      <c r="V534" s="32"/>
      <c r="W534" s="32"/>
      <c r="X534" s="32"/>
      <c r="Y534" s="32"/>
      <c r="Z534" s="32"/>
      <c r="AA534" s="32"/>
    </row>
    <row r="535" spans="14:27">
      <c r="N535" s="32"/>
      <c r="O535" s="32"/>
      <c r="P535" s="32"/>
      <c r="Q535" s="32"/>
      <c r="R535" s="32"/>
      <c r="S535" s="32">
        <f t="shared" si="8"/>
        <v>0</v>
      </c>
      <c r="T535" s="32">
        <v>0</v>
      </c>
      <c r="U535" s="32"/>
      <c r="V535" s="32"/>
      <c r="W535" s="32"/>
      <c r="X535" s="32"/>
      <c r="Y535" s="32"/>
      <c r="Z535" s="32"/>
      <c r="AA535" s="32"/>
    </row>
    <row r="536" spans="14:27">
      <c r="N536" s="32"/>
      <c r="O536" s="32"/>
      <c r="P536" s="32"/>
      <c r="Q536" s="32"/>
      <c r="R536" s="32"/>
      <c r="S536" s="32">
        <f t="shared" si="8"/>
        <v>0</v>
      </c>
      <c r="T536" s="32">
        <v>0</v>
      </c>
      <c r="U536" s="32"/>
      <c r="V536" s="32"/>
      <c r="W536" s="32"/>
      <c r="X536" s="32"/>
      <c r="Y536" s="32"/>
      <c r="Z536" s="32"/>
      <c r="AA536" s="32"/>
    </row>
    <row r="537" spans="14:27">
      <c r="N537" s="32"/>
      <c r="O537" s="32"/>
      <c r="P537" s="32"/>
      <c r="Q537" s="32"/>
      <c r="R537" s="32"/>
      <c r="S537" s="32">
        <f t="shared" si="8"/>
        <v>0</v>
      </c>
      <c r="T537" s="32">
        <v>0</v>
      </c>
      <c r="U537" s="32"/>
      <c r="V537" s="32"/>
      <c r="W537" s="32"/>
      <c r="X537" s="32"/>
      <c r="Y537" s="32"/>
      <c r="Z537" s="32"/>
      <c r="AA537" s="32"/>
    </row>
    <row r="538" spans="14:27">
      <c r="N538" s="32"/>
      <c r="O538" s="32"/>
      <c r="P538" s="32"/>
      <c r="Q538" s="32"/>
      <c r="R538" s="32"/>
      <c r="S538" s="32">
        <f t="shared" si="8"/>
        <v>0</v>
      </c>
      <c r="T538" s="32">
        <v>0</v>
      </c>
      <c r="U538" s="32"/>
      <c r="V538" s="32"/>
      <c r="W538" s="32"/>
      <c r="X538" s="32"/>
      <c r="Y538" s="32"/>
      <c r="Z538" s="32"/>
      <c r="AA538" s="32"/>
    </row>
    <row r="539" spans="14:27">
      <c r="N539" s="32"/>
      <c r="O539" s="32"/>
      <c r="P539" s="32"/>
      <c r="Q539" s="32"/>
      <c r="R539" s="32"/>
      <c r="S539" s="32">
        <f t="shared" si="8"/>
        <v>0</v>
      </c>
      <c r="T539" s="32">
        <v>0</v>
      </c>
      <c r="U539" s="32"/>
      <c r="V539" s="32"/>
      <c r="W539" s="32"/>
      <c r="X539" s="32"/>
      <c r="Y539" s="32"/>
      <c r="Z539" s="32"/>
      <c r="AA539" s="32"/>
    </row>
    <row r="540" spans="14:27">
      <c r="N540" s="32"/>
      <c r="O540" s="32"/>
      <c r="P540" s="32"/>
      <c r="Q540" s="32"/>
      <c r="R540" s="32"/>
      <c r="S540" s="32">
        <f t="shared" si="8"/>
        <v>0</v>
      </c>
      <c r="T540" s="32">
        <v>0</v>
      </c>
      <c r="U540" s="32"/>
      <c r="V540" s="32"/>
      <c r="W540" s="32"/>
      <c r="X540" s="32"/>
      <c r="Y540" s="32"/>
      <c r="Z540" s="32"/>
      <c r="AA540" s="32"/>
    </row>
    <row r="541" spans="14:27">
      <c r="N541" s="32"/>
      <c r="O541" s="32"/>
      <c r="P541" s="32"/>
      <c r="Q541" s="32"/>
      <c r="R541" s="32"/>
      <c r="S541" s="32">
        <f t="shared" si="8"/>
        <v>0</v>
      </c>
      <c r="T541" s="32">
        <v>0</v>
      </c>
      <c r="U541" s="32"/>
      <c r="V541" s="32"/>
      <c r="W541" s="32"/>
      <c r="X541" s="32"/>
      <c r="Y541" s="32"/>
      <c r="Z541" s="32"/>
      <c r="AA541" s="32"/>
    </row>
    <row r="542" spans="14:27">
      <c r="N542" s="32"/>
      <c r="O542" s="32"/>
      <c r="P542" s="32"/>
      <c r="Q542" s="32"/>
      <c r="R542" s="32"/>
      <c r="S542" s="32">
        <f t="shared" si="8"/>
        <v>0</v>
      </c>
      <c r="T542" s="32">
        <v>0</v>
      </c>
      <c r="U542" s="32"/>
      <c r="V542" s="32"/>
      <c r="W542" s="32"/>
      <c r="X542" s="32"/>
      <c r="Y542" s="32"/>
      <c r="Z542" s="32"/>
      <c r="AA542" s="32"/>
    </row>
    <row r="543" spans="14:27">
      <c r="N543" s="32"/>
      <c r="O543" s="32"/>
      <c r="P543" s="32"/>
      <c r="Q543" s="32"/>
      <c r="R543" s="32"/>
      <c r="S543" s="32">
        <f t="shared" si="8"/>
        <v>0</v>
      </c>
      <c r="T543" s="32">
        <v>0</v>
      </c>
      <c r="U543" s="32"/>
      <c r="V543" s="32"/>
      <c r="W543" s="32"/>
      <c r="X543" s="32"/>
      <c r="Y543" s="32"/>
      <c r="Z543" s="32"/>
      <c r="AA543" s="32"/>
    </row>
    <row r="544" spans="14:27">
      <c r="N544" s="32"/>
      <c r="O544" s="32"/>
      <c r="P544" s="32"/>
      <c r="Q544" s="32"/>
      <c r="R544" s="32"/>
      <c r="S544" s="32">
        <f t="shared" si="8"/>
        <v>0</v>
      </c>
      <c r="T544" s="32">
        <v>0</v>
      </c>
      <c r="U544" s="32"/>
      <c r="V544" s="32"/>
      <c r="W544" s="32"/>
      <c r="X544" s="32"/>
      <c r="Y544" s="32"/>
      <c r="Z544" s="32"/>
      <c r="AA544" s="32"/>
    </row>
    <row r="545" spans="14:27">
      <c r="N545" s="32"/>
      <c r="O545" s="32"/>
      <c r="P545" s="32"/>
      <c r="Q545" s="32"/>
      <c r="R545" s="32"/>
      <c r="S545" s="32">
        <f t="shared" si="8"/>
        <v>0</v>
      </c>
      <c r="T545" s="32">
        <v>0</v>
      </c>
      <c r="U545" s="32"/>
      <c r="V545" s="32"/>
      <c r="W545" s="32"/>
      <c r="X545" s="32"/>
      <c r="Y545" s="32"/>
      <c r="Z545" s="32"/>
      <c r="AA545" s="32"/>
    </row>
    <row r="546" spans="14:27">
      <c r="N546" s="32"/>
      <c r="O546" s="32"/>
      <c r="P546" s="32"/>
      <c r="Q546" s="32"/>
      <c r="R546" s="32"/>
      <c r="S546" s="32">
        <f t="shared" si="8"/>
        <v>0</v>
      </c>
      <c r="T546" s="32">
        <v>0</v>
      </c>
      <c r="U546" s="32"/>
      <c r="V546" s="32"/>
      <c r="W546" s="32"/>
      <c r="X546" s="32"/>
      <c r="Y546" s="32"/>
      <c r="Z546" s="32"/>
      <c r="AA546" s="32"/>
    </row>
    <row r="547" spans="14:27">
      <c r="N547" s="32"/>
      <c r="O547" s="32"/>
      <c r="P547" s="32"/>
      <c r="Q547" s="32"/>
      <c r="R547" s="32"/>
      <c r="S547" s="32">
        <f t="shared" si="8"/>
        <v>0</v>
      </c>
      <c r="T547" s="32">
        <v>0</v>
      </c>
      <c r="U547" s="32"/>
      <c r="V547" s="32"/>
      <c r="W547" s="32"/>
      <c r="X547" s="32"/>
      <c r="Y547" s="32"/>
      <c r="Z547" s="32"/>
      <c r="AA547" s="32"/>
    </row>
    <row r="548" spans="14:27">
      <c r="N548" s="32"/>
      <c r="O548" s="32"/>
      <c r="P548" s="32"/>
      <c r="Q548" s="32"/>
      <c r="R548" s="32"/>
      <c r="S548" s="32">
        <f t="shared" si="8"/>
        <v>0</v>
      </c>
      <c r="T548" s="32">
        <v>0</v>
      </c>
      <c r="U548" s="32"/>
      <c r="V548" s="32"/>
      <c r="W548" s="32"/>
      <c r="X548" s="32"/>
      <c r="Y548" s="32"/>
      <c r="Z548" s="32"/>
      <c r="AA548" s="32"/>
    </row>
    <row r="549" spans="14:27">
      <c r="N549" s="32"/>
      <c r="O549" s="32"/>
      <c r="P549" s="32"/>
      <c r="Q549" s="32"/>
      <c r="R549" s="32"/>
      <c r="S549" s="32">
        <f t="shared" si="8"/>
        <v>0</v>
      </c>
      <c r="T549" s="32">
        <v>0</v>
      </c>
      <c r="U549" s="32"/>
      <c r="V549" s="32"/>
      <c r="W549" s="32"/>
      <c r="X549" s="32"/>
      <c r="Y549" s="32"/>
      <c r="Z549" s="32"/>
      <c r="AA549" s="32"/>
    </row>
    <row r="550" spans="14:27">
      <c r="N550" s="32"/>
      <c r="O550" s="32"/>
      <c r="P550" s="32"/>
      <c r="Q550" s="32"/>
      <c r="R550" s="32"/>
      <c r="S550" s="32">
        <f t="shared" si="8"/>
        <v>0</v>
      </c>
      <c r="T550" s="32">
        <v>0</v>
      </c>
      <c r="U550" s="32"/>
      <c r="V550" s="32"/>
      <c r="W550" s="32"/>
      <c r="X550" s="32"/>
      <c r="Y550" s="32"/>
      <c r="Z550" s="32"/>
      <c r="AA550" s="32"/>
    </row>
    <row r="551" spans="14:27">
      <c r="N551" s="32"/>
      <c r="O551" s="32"/>
      <c r="P551" s="32"/>
      <c r="Q551" s="32"/>
      <c r="R551" s="32"/>
      <c r="S551" s="32">
        <f t="shared" si="8"/>
        <v>0</v>
      </c>
      <c r="T551" s="32">
        <v>0</v>
      </c>
      <c r="U551" s="32"/>
      <c r="V551" s="32"/>
      <c r="W551" s="32"/>
      <c r="X551" s="32"/>
      <c r="Y551" s="32"/>
      <c r="Z551" s="32"/>
      <c r="AA551" s="32"/>
    </row>
    <row r="552" spans="14:27">
      <c r="N552" s="32"/>
      <c r="O552" s="32"/>
      <c r="P552" s="32"/>
      <c r="Q552" s="32"/>
      <c r="R552" s="32"/>
      <c r="S552" s="32">
        <f t="shared" si="8"/>
        <v>0</v>
      </c>
      <c r="T552" s="32">
        <v>0</v>
      </c>
      <c r="U552" s="32"/>
      <c r="V552" s="32"/>
      <c r="W552" s="32"/>
      <c r="X552" s="32"/>
      <c r="Y552" s="32"/>
      <c r="Z552" s="32"/>
      <c r="AA552" s="32"/>
    </row>
    <row r="553" spans="14:27">
      <c r="N553" s="32"/>
      <c r="O553" s="32"/>
      <c r="P553" s="32"/>
      <c r="Q553" s="32"/>
      <c r="R553" s="32"/>
      <c r="S553" s="32">
        <f t="shared" si="8"/>
        <v>0</v>
      </c>
      <c r="T553" s="32">
        <v>0</v>
      </c>
      <c r="U553" s="32"/>
      <c r="V553" s="32"/>
      <c r="W553" s="32"/>
      <c r="X553" s="32"/>
      <c r="Y553" s="32"/>
      <c r="Z553" s="32"/>
      <c r="AA553" s="32"/>
    </row>
    <row r="554" spans="14:27">
      <c r="N554" s="32"/>
      <c r="O554" s="32"/>
      <c r="P554" s="32"/>
      <c r="Q554" s="32"/>
      <c r="R554" s="32"/>
      <c r="S554" s="32">
        <f t="shared" si="8"/>
        <v>0</v>
      </c>
      <c r="T554" s="32">
        <v>0</v>
      </c>
      <c r="U554" s="32"/>
      <c r="V554" s="32"/>
      <c r="W554" s="32"/>
      <c r="X554" s="32"/>
      <c r="Y554" s="32"/>
      <c r="Z554" s="32"/>
      <c r="AA554" s="32"/>
    </row>
    <row r="555" spans="14:27">
      <c r="N555" s="32"/>
      <c r="O555" s="32"/>
      <c r="P555" s="32"/>
      <c r="Q555" s="32"/>
      <c r="R555" s="32"/>
      <c r="S555" s="32">
        <f t="shared" si="8"/>
        <v>0</v>
      </c>
      <c r="T555" s="32">
        <v>0</v>
      </c>
      <c r="U555" s="32"/>
      <c r="V555" s="32"/>
      <c r="W555" s="32"/>
      <c r="X555" s="32"/>
      <c r="Y555" s="32"/>
      <c r="Z555" s="32"/>
      <c r="AA555" s="32"/>
    </row>
    <row r="556" spans="14:27">
      <c r="N556" s="32"/>
      <c r="O556" s="32"/>
      <c r="P556" s="32"/>
      <c r="Q556" s="32"/>
      <c r="R556" s="32"/>
      <c r="S556" s="32">
        <f t="shared" si="8"/>
        <v>0</v>
      </c>
      <c r="T556" s="32">
        <v>0</v>
      </c>
      <c r="U556" s="32"/>
      <c r="V556" s="32"/>
      <c r="W556" s="32"/>
      <c r="X556" s="32"/>
      <c r="Y556" s="32"/>
      <c r="Z556" s="32"/>
      <c r="AA556" s="32"/>
    </row>
    <row r="557" spans="14:27">
      <c r="N557" s="32"/>
      <c r="O557" s="32"/>
      <c r="P557" s="32"/>
      <c r="Q557" s="32"/>
      <c r="R557" s="32"/>
      <c r="S557" s="32">
        <f t="shared" si="8"/>
        <v>0</v>
      </c>
      <c r="T557" s="32">
        <v>0</v>
      </c>
      <c r="U557" s="32"/>
      <c r="V557" s="32"/>
      <c r="W557" s="32"/>
      <c r="X557" s="32"/>
      <c r="Y557" s="32"/>
      <c r="Z557" s="32"/>
      <c r="AA557" s="32"/>
    </row>
    <row r="558" spans="14:27">
      <c r="N558" s="32"/>
      <c r="O558" s="32"/>
      <c r="P558" s="32"/>
      <c r="Q558" s="32"/>
      <c r="R558" s="32"/>
      <c r="S558" s="32">
        <f t="shared" si="8"/>
        <v>0</v>
      </c>
      <c r="T558" s="32">
        <v>0</v>
      </c>
      <c r="U558" s="32"/>
      <c r="V558" s="32"/>
      <c r="W558" s="32"/>
      <c r="X558" s="32"/>
      <c r="Y558" s="32"/>
      <c r="Z558" s="32"/>
      <c r="AA558" s="32"/>
    </row>
    <row r="559" spans="14:27">
      <c r="N559" s="32"/>
      <c r="O559" s="32"/>
      <c r="P559" s="32"/>
      <c r="Q559" s="32"/>
      <c r="R559" s="32"/>
      <c r="S559" s="32">
        <f t="shared" si="8"/>
        <v>0</v>
      </c>
      <c r="T559" s="32">
        <v>0</v>
      </c>
      <c r="U559" s="32"/>
      <c r="V559" s="32"/>
      <c r="W559" s="32"/>
      <c r="X559" s="32"/>
      <c r="Y559" s="32"/>
      <c r="Z559" s="32"/>
      <c r="AA559" s="32"/>
    </row>
    <row r="560" spans="14:27">
      <c r="N560" s="32"/>
      <c r="O560" s="32"/>
      <c r="P560" s="32"/>
      <c r="Q560" s="32"/>
      <c r="R560" s="32"/>
      <c r="S560" s="32">
        <f t="shared" si="8"/>
        <v>0</v>
      </c>
      <c r="T560" s="32">
        <v>0</v>
      </c>
      <c r="U560" s="32"/>
      <c r="V560" s="32"/>
      <c r="W560" s="32"/>
      <c r="X560" s="32"/>
      <c r="Y560" s="32"/>
      <c r="Z560" s="32"/>
      <c r="AA560" s="32"/>
    </row>
    <row r="561" spans="14:27">
      <c r="N561" s="32"/>
      <c r="O561" s="32"/>
      <c r="P561" s="32"/>
      <c r="Q561" s="32"/>
      <c r="R561" s="32"/>
      <c r="S561" s="32">
        <f t="shared" si="8"/>
        <v>0</v>
      </c>
      <c r="T561" s="32">
        <v>0</v>
      </c>
      <c r="U561" s="32"/>
      <c r="V561" s="32"/>
      <c r="W561" s="32"/>
      <c r="X561" s="32"/>
      <c r="Y561" s="32"/>
      <c r="Z561" s="32"/>
      <c r="AA561" s="32"/>
    </row>
    <row r="562" spans="14:27">
      <c r="N562" s="32"/>
      <c r="O562" s="32"/>
      <c r="P562" s="32"/>
      <c r="Q562" s="32"/>
      <c r="R562" s="32"/>
      <c r="S562" s="32">
        <f t="shared" si="8"/>
        <v>0</v>
      </c>
      <c r="T562" s="32">
        <v>0</v>
      </c>
      <c r="U562" s="32"/>
      <c r="V562" s="32"/>
      <c r="W562" s="32"/>
      <c r="X562" s="32"/>
      <c r="Y562" s="32"/>
      <c r="Z562" s="32"/>
      <c r="AA562" s="32"/>
    </row>
    <row r="563" spans="14:27">
      <c r="N563" s="32"/>
      <c r="O563" s="32"/>
      <c r="P563" s="32"/>
      <c r="Q563" s="32"/>
      <c r="R563" s="32"/>
      <c r="S563" s="32">
        <f t="shared" si="8"/>
        <v>0</v>
      </c>
      <c r="T563" s="32">
        <v>0</v>
      </c>
      <c r="U563" s="32"/>
      <c r="V563" s="32"/>
      <c r="W563" s="32"/>
      <c r="X563" s="32"/>
      <c r="Y563" s="32"/>
      <c r="Z563" s="32"/>
      <c r="AA563" s="32"/>
    </row>
    <row r="564" spans="14:27">
      <c r="N564" s="32"/>
      <c r="O564" s="32"/>
      <c r="P564" s="32"/>
      <c r="Q564" s="32"/>
      <c r="R564" s="32"/>
      <c r="S564" s="32">
        <f t="shared" si="8"/>
        <v>0</v>
      </c>
      <c r="T564" s="32">
        <v>0</v>
      </c>
      <c r="U564" s="32"/>
      <c r="V564" s="32"/>
      <c r="W564" s="32"/>
      <c r="X564" s="32"/>
      <c r="Y564" s="32"/>
      <c r="Z564" s="32"/>
      <c r="AA564" s="32"/>
    </row>
    <row r="565" spans="14:27">
      <c r="N565" s="32"/>
      <c r="O565" s="32"/>
      <c r="P565" s="32"/>
      <c r="Q565" s="32"/>
      <c r="R565" s="32"/>
      <c r="S565" s="32">
        <f t="shared" si="8"/>
        <v>0</v>
      </c>
      <c r="T565" s="32">
        <v>0</v>
      </c>
      <c r="U565" s="32"/>
      <c r="V565" s="32"/>
      <c r="W565" s="32"/>
      <c r="X565" s="32"/>
      <c r="Y565" s="32"/>
      <c r="Z565" s="32"/>
      <c r="AA565" s="32"/>
    </row>
    <row r="566" spans="14:27">
      <c r="N566" s="32"/>
      <c r="O566" s="32"/>
      <c r="P566" s="32"/>
      <c r="Q566" s="32"/>
      <c r="R566" s="32"/>
      <c r="S566" s="32">
        <f t="shared" si="8"/>
        <v>0</v>
      </c>
      <c r="T566" s="32">
        <v>0</v>
      </c>
      <c r="U566" s="32"/>
      <c r="V566" s="32"/>
      <c r="W566" s="32"/>
      <c r="X566" s="32"/>
      <c r="Y566" s="32"/>
      <c r="Z566" s="32"/>
      <c r="AA566" s="32"/>
    </row>
    <row r="567" spans="14:27">
      <c r="N567" s="32"/>
      <c r="O567" s="32"/>
      <c r="P567" s="32"/>
      <c r="Q567" s="32"/>
      <c r="R567" s="32"/>
      <c r="S567" s="32">
        <f t="shared" si="8"/>
        <v>0</v>
      </c>
      <c r="T567" s="32">
        <v>0</v>
      </c>
      <c r="U567" s="32"/>
      <c r="V567" s="32"/>
      <c r="W567" s="32"/>
      <c r="X567" s="32"/>
      <c r="Y567" s="32"/>
      <c r="Z567" s="32"/>
      <c r="AA567" s="32"/>
    </row>
    <row r="568" spans="14:27">
      <c r="N568" s="32"/>
      <c r="O568" s="32"/>
      <c r="P568" s="32"/>
      <c r="Q568" s="32"/>
      <c r="R568" s="32"/>
      <c r="S568" s="32">
        <f t="shared" si="8"/>
        <v>0</v>
      </c>
      <c r="T568" s="32">
        <v>0</v>
      </c>
      <c r="U568" s="32"/>
      <c r="V568" s="32"/>
      <c r="W568" s="32"/>
      <c r="X568" s="32"/>
      <c r="Y568" s="32"/>
      <c r="Z568" s="32"/>
      <c r="AA568" s="32"/>
    </row>
    <row r="569" spans="14:27">
      <c r="N569" s="32"/>
      <c r="O569" s="32"/>
      <c r="P569" s="32"/>
      <c r="Q569" s="32"/>
      <c r="R569" s="32"/>
      <c r="S569" s="32">
        <f t="shared" si="8"/>
        <v>0</v>
      </c>
      <c r="T569" s="32">
        <v>0</v>
      </c>
      <c r="U569" s="32"/>
      <c r="V569" s="32"/>
      <c r="W569" s="32"/>
      <c r="X569" s="32"/>
      <c r="Y569" s="32"/>
      <c r="Z569" s="32"/>
      <c r="AA569" s="32"/>
    </row>
    <row r="570" spans="14:27">
      <c r="N570" s="32"/>
      <c r="O570" s="32"/>
      <c r="P570" s="32"/>
      <c r="Q570" s="32"/>
      <c r="R570" s="32"/>
      <c r="S570" s="32">
        <f t="shared" si="8"/>
        <v>0</v>
      </c>
      <c r="T570" s="32">
        <v>0</v>
      </c>
      <c r="U570" s="32"/>
      <c r="V570" s="32"/>
      <c r="W570" s="32"/>
      <c r="X570" s="32"/>
      <c r="Y570" s="32"/>
      <c r="Z570" s="32"/>
      <c r="AA570" s="32"/>
    </row>
    <row r="571" spans="14:27">
      <c r="N571" s="32"/>
      <c r="O571" s="32"/>
      <c r="P571" s="32"/>
      <c r="Q571" s="32"/>
      <c r="R571" s="32"/>
      <c r="S571" s="32">
        <f t="shared" si="8"/>
        <v>0</v>
      </c>
      <c r="T571" s="32">
        <v>0</v>
      </c>
      <c r="U571" s="32"/>
      <c r="V571" s="32"/>
      <c r="W571" s="32"/>
      <c r="X571" s="32"/>
      <c r="Y571" s="32"/>
      <c r="Z571" s="32"/>
      <c r="AA571" s="32"/>
    </row>
    <row r="572" spans="14:27">
      <c r="N572" s="32"/>
      <c r="O572" s="32"/>
      <c r="P572" s="32"/>
      <c r="Q572" s="32"/>
      <c r="R572" s="32"/>
      <c r="S572" s="32">
        <f t="shared" si="8"/>
        <v>0</v>
      </c>
      <c r="T572" s="32">
        <v>0</v>
      </c>
      <c r="U572" s="32"/>
      <c r="V572" s="32"/>
      <c r="W572" s="32"/>
      <c r="X572" s="32"/>
      <c r="Y572" s="32"/>
      <c r="Z572" s="32"/>
      <c r="AA572" s="32"/>
    </row>
    <row r="573" spans="14:27">
      <c r="N573" s="32"/>
      <c r="O573" s="32"/>
      <c r="P573" s="32"/>
      <c r="Q573" s="32"/>
      <c r="R573" s="32"/>
      <c r="S573" s="32">
        <f t="shared" si="8"/>
        <v>0</v>
      </c>
      <c r="T573" s="32">
        <v>0</v>
      </c>
      <c r="U573" s="32"/>
      <c r="V573" s="32"/>
      <c r="W573" s="32"/>
      <c r="X573" s="32"/>
      <c r="Y573" s="32"/>
      <c r="Z573" s="32"/>
      <c r="AA573" s="32"/>
    </row>
    <row r="574" spans="14:27">
      <c r="N574" s="32"/>
      <c r="O574" s="32"/>
      <c r="P574" s="32"/>
      <c r="Q574" s="32"/>
      <c r="R574" s="32"/>
      <c r="S574" s="32">
        <f t="shared" si="8"/>
        <v>0</v>
      </c>
      <c r="T574" s="32">
        <v>0</v>
      </c>
      <c r="U574" s="32"/>
      <c r="V574" s="32"/>
      <c r="W574" s="32"/>
      <c r="X574" s="32"/>
      <c r="Y574" s="32"/>
      <c r="Z574" s="32"/>
      <c r="AA574" s="32"/>
    </row>
    <row r="575" spans="14:27">
      <c r="N575" s="32"/>
      <c r="O575" s="32"/>
      <c r="P575" s="32"/>
      <c r="Q575" s="32"/>
      <c r="R575" s="32"/>
      <c r="S575" s="32">
        <f t="shared" si="8"/>
        <v>0</v>
      </c>
      <c r="T575" s="32">
        <v>0</v>
      </c>
      <c r="U575" s="32"/>
      <c r="V575" s="32"/>
      <c r="W575" s="32"/>
      <c r="X575" s="32"/>
      <c r="Y575" s="32"/>
      <c r="Z575" s="32"/>
      <c r="AA575" s="32"/>
    </row>
    <row r="576" spans="14:27">
      <c r="N576" s="32"/>
      <c r="O576" s="32"/>
      <c r="P576" s="32"/>
      <c r="Q576" s="32"/>
      <c r="R576" s="32"/>
      <c r="S576" s="32">
        <f t="shared" si="8"/>
        <v>0</v>
      </c>
      <c r="T576" s="32">
        <v>0</v>
      </c>
      <c r="U576" s="32"/>
      <c r="V576" s="32"/>
      <c r="W576" s="32"/>
      <c r="X576" s="32"/>
      <c r="Y576" s="32"/>
      <c r="Z576" s="32"/>
      <c r="AA576" s="32"/>
    </row>
    <row r="577" spans="14:27">
      <c r="N577" s="32"/>
      <c r="O577" s="32"/>
      <c r="P577" s="32"/>
      <c r="Q577" s="32"/>
      <c r="R577" s="32"/>
      <c r="S577" s="32">
        <f t="shared" si="8"/>
        <v>0</v>
      </c>
      <c r="T577" s="32">
        <v>0</v>
      </c>
      <c r="U577" s="32"/>
      <c r="V577" s="32"/>
      <c r="W577" s="32"/>
      <c r="X577" s="32"/>
      <c r="Y577" s="32"/>
      <c r="Z577" s="32"/>
      <c r="AA577" s="32"/>
    </row>
    <row r="578" spans="14:27">
      <c r="N578" s="32"/>
      <c r="O578" s="32"/>
      <c r="P578" s="32"/>
      <c r="Q578" s="32"/>
      <c r="R578" s="32"/>
      <c r="S578" s="32">
        <f t="shared" si="8"/>
        <v>0</v>
      </c>
      <c r="T578" s="32">
        <v>0</v>
      </c>
      <c r="U578" s="32"/>
      <c r="V578" s="32"/>
      <c r="W578" s="32"/>
      <c r="X578" s="32"/>
      <c r="Y578" s="32"/>
      <c r="Z578" s="32"/>
      <c r="AA578" s="32"/>
    </row>
    <row r="579" spans="14:27">
      <c r="N579" s="32"/>
      <c r="O579" s="32"/>
      <c r="P579" s="32"/>
      <c r="Q579" s="32"/>
      <c r="R579" s="32"/>
      <c r="S579" s="32">
        <f t="shared" si="8"/>
        <v>0</v>
      </c>
      <c r="T579" s="32">
        <v>0</v>
      </c>
      <c r="U579" s="32"/>
      <c r="V579" s="32"/>
      <c r="W579" s="32"/>
      <c r="X579" s="32"/>
      <c r="Y579" s="32"/>
      <c r="Z579" s="32"/>
      <c r="AA579" s="32"/>
    </row>
    <row r="580" spans="14:27">
      <c r="N580" s="32"/>
      <c r="O580" s="32"/>
      <c r="P580" s="32"/>
      <c r="Q580" s="32"/>
      <c r="R580" s="32"/>
      <c r="S580" s="32">
        <f t="shared" si="8"/>
        <v>0</v>
      </c>
      <c r="T580" s="32">
        <v>0</v>
      </c>
      <c r="U580" s="32"/>
      <c r="V580" s="32"/>
      <c r="W580" s="32"/>
      <c r="X580" s="32"/>
      <c r="Y580" s="32"/>
      <c r="Z580" s="32"/>
      <c r="AA580" s="32"/>
    </row>
    <row r="581" spans="14:27">
      <c r="N581" s="32"/>
      <c r="O581" s="32"/>
      <c r="P581" s="32"/>
      <c r="Q581" s="32"/>
      <c r="R581" s="32"/>
      <c r="S581" s="32">
        <f t="shared" si="8"/>
        <v>0</v>
      </c>
      <c r="T581" s="32">
        <v>0</v>
      </c>
      <c r="U581" s="32"/>
      <c r="V581" s="32"/>
      <c r="W581" s="32"/>
      <c r="X581" s="32"/>
      <c r="Y581" s="32"/>
      <c r="Z581" s="32"/>
      <c r="AA581" s="32"/>
    </row>
    <row r="582" spans="14:27">
      <c r="N582" s="32"/>
      <c r="O582" s="32"/>
      <c r="P582" s="32"/>
      <c r="Q582" s="32"/>
      <c r="R582" s="32"/>
      <c r="S582" s="32">
        <f t="shared" si="8"/>
        <v>0</v>
      </c>
      <c r="T582" s="32">
        <v>0</v>
      </c>
      <c r="U582" s="32"/>
      <c r="V582" s="32"/>
      <c r="W582" s="32"/>
      <c r="X582" s="32"/>
      <c r="Y582" s="32"/>
      <c r="Z582" s="32"/>
      <c r="AA582" s="32"/>
    </row>
    <row r="583" spans="14:27">
      <c r="N583" s="32"/>
      <c r="O583" s="32"/>
      <c r="P583" s="32"/>
      <c r="Q583" s="32"/>
      <c r="R583" s="32"/>
      <c r="S583" s="32">
        <f t="shared" si="8"/>
        <v>0</v>
      </c>
      <c r="T583" s="32">
        <v>0</v>
      </c>
      <c r="U583" s="32"/>
      <c r="V583" s="32"/>
      <c r="W583" s="32"/>
      <c r="X583" s="32"/>
      <c r="Y583" s="32"/>
      <c r="Z583" s="32"/>
      <c r="AA583" s="32"/>
    </row>
    <row r="584" spans="14:27">
      <c r="N584" s="32"/>
      <c r="O584" s="32"/>
      <c r="P584" s="32"/>
      <c r="Q584" s="32"/>
      <c r="R584" s="32"/>
      <c r="S584" s="32">
        <f t="shared" si="8"/>
        <v>0</v>
      </c>
      <c r="T584" s="32">
        <v>0</v>
      </c>
      <c r="U584" s="32"/>
      <c r="V584" s="32"/>
      <c r="W584" s="32"/>
      <c r="X584" s="32"/>
      <c r="Y584" s="32"/>
      <c r="Z584" s="32"/>
      <c r="AA584" s="32"/>
    </row>
    <row r="585" spans="14:27">
      <c r="N585" s="32"/>
      <c r="O585" s="32"/>
      <c r="P585" s="32"/>
      <c r="Q585" s="32"/>
      <c r="R585" s="32"/>
      <c r="S585" s="32">
        <f t="shared" si="8"/>
        <v>0</v>
      </c>
      <c r="T585" s="32">
        <v>0</v>
      </c>
      <c r="U585" s="32"/>
      <c r="V585" s="32"/>
      <c r="W585" s="32"/>
      <c r="X585" s="32"/>
      <c r="Y585" s="32"/>
      <c r="Z585" s="32"/>
      <c r="AA585" s="32"/>
    </row>
    <row r="586" spans="14:27">
      <c r="N586" s="32"/>
      <c r="O586" s="32"/>
      <c r="P586" s="32"/>
      <c r="Q586" s="32"/>
      <c r="R586" s="32"/>
      <c r="S586" s="32">
        <f t="shared" ref="S586:S609" si="9">IF(R586&lt;&gt;1,0,--OR(U586=1,AND($O$2&gt;=2,V586=1),AND($O$2&gt;=3,W586=1),AND($O$2&gt;=4,X586=1),AND($O$2&gt;=5,Y586=1)))</f>
        <v>0</v>
      </c>
      <c r="T586" s="32">
        <v>0</v>
      </c>
      <c r="U586" s="32"/>
      <c r="V586" s="32"/>
      <c r="W586" s="32"/>
      <c r="X586" s="32"/>
      <c r="Y586" s="32"/>
      <c r="Z586" s="32"/>
      <c r="AA586" s="32"/>
    </row>
    <row r="587" spans="14:27">
      <c r="N587" s="32"/>
      <c r="O587" s="32"/>
      <c r="P587" s="32"/>
      <c r="Q587" s="32"/>
      <c r="R587" s="32"/>
      <c r="S587" s="32">
        <f t="shared" si="9"/>
        <v>0</v>
      </c>
      <c r="T587" s="32">
        <v>0</v>
      </c>
      <c r="U587" s="32"/>
      <c r="V587" s="32"/>
      <c r="W587" s="32"/>
      <c r="X587" s="32"/>
      <c r="Y587" s="32"/>
      <c r="Z587" s="32"/>
      <c r="AA587" s="32"/>
    </row>
    <row r="588" spans="14:27">
      <c r="N588" s="32"/>
      <c r="O588" s="32"/>
      <c r="P588" s="32"/>
      <c r="Q588" s="32"/>
      <c r="R588" s="32"/>
      <c r="S588" s="32">
        <f t="shared" si="9"/>
        <v>0</v>
      </c>
      <c r="T588" s="32">
        <v>0</v>
      </c>
      <c r="U588" s="32"/>
      <c r="V588" s="32"/>
      <c r="W588" s="32"/>
      <c r="X588" s="32"/>
      <c r="Y588" s="32"/>
      <c r="Z588" s="32"/>
      <c r="AA588" s="32"/>
    </row>
    <row r="589" spans="14:27">
      <c r="N589" s="32"/>
      <c r="O589" s="32"/>
      <c r="P589" s="32"/>
      <c r="Q589" s="32"/>
      <c r="R589" s="32"/>
      <c r="S589" s="32">
        <f t="shared" si="9"/>
        <v>0</v>
      </c>
      <c r="T589" s="32">
        <v>0</v>
      </c>
      <c r="U589" s="32"/>
      <c r="V589" s="32"/>
      <c r="W589" s="32"/>
      <c r="X589" s="32"/>
      <c r="Y589" s="32"/>
      <c r="Z589" s="32"/>
      <c r="AA589" s="32"/>
    </row>
    <row r="590" spans="14:27">
      <c r="N590" s="32"/>
      <c r="O590" s="32"/>
      <c r="P590" s="32"/>
      <c r="Q590" s="32"/>
      <c r="R590" s="32"/>
      <c r="S590" s="32">
        <f t="shared" si="9"/>
        <v>0</v>
      </c>
      <c r="T590" s="32">
        <v>0</v>
      </c>
      <c r="U590" s="32"/>
      <c r="V590" s="32"/>
      <c r="W590" s="32"/>
      <c r="X590" s="32"/>
      <c r="Y590" s="32"/>
      <c r="Z590" s="32"/>
      <c r="AA590" s="32"/>
    </row>
    <row r="591" spans="14:27">
      <c r="N591" s="32"/>
      <c r="O591" s="32"/>
      <c r="P591" s="32"/>
      <c r="Q591" s="32"/>
      <c r="R591" s="32"/>
      <c r="S591" s="32">
        <f t="shared" si="9"/>
        <v>0</v>
      </c>
      <c r="T591" s="32">
        <v>0</v>
      </c>
      <c r="U591" s="32"/>
      <c r="V591" s="32"/>
      <c r="W591" s="32"/>
      <c r="X591" s="32"/>
      <c r="Y591" s="32"/>
      <c r="Z591" s="32"/>
      <c r="AA591" s="32"/>
    </row>
    <row r="592" spans="14:27">
      <c r="N592" s="32"/>
      <c r="O592" s="32"/>
      <c r="P592" s="32"/>
      <c r="Q592" s="32"/>
      <c r="R592" s="32"/>
      <c r="S592" s="32">
        <f t="shared" si="9"/>
        <v>0</v>
      </c>
      <c r="T592" s="32">
        <v>0</v>
      </c>
      <c r="U592" s="32"/>
      <c r="V592" s="32"/>
      <c r="W592" s="32"/>
      <c r="X592" s="32"/>
      <c r="Y592" s="32"/>
      <c r="Z592" s="32"/>
      <c r="AA592" s="32"/>
    </row>
    <row r="593" spans="14:27">
      <c r="N593" s="32"/>
      <c r="O593" s="32"/>
      <c r="P593" s="32"/>
      <c r="Q593" s="32"/>
      <c r="R593" s="32"/>
      <c r="S593" s="32">
        <f t="shared" si="9"/>
        <v>0</v>
      </c>
      <c r="T593" s="32">
        <v>0</v>
      </c>
      <c r="U593" s="32"/>
      <c r="V593" s="32"/>
      <c r="W593" s="32"/>
      <c r="X593" s="32"/>
      <c r="Y593" s="32"/>
      <c r="Z593" s="32"/>
      <c r="AA593" s="32"/>
    </row>
    <row r="594" spans="14:27">
      <c r="N594" s="32"/>
      <c r="O594" s="32"/>
      <c r="P594" s="32"/>
      <c r="Q594" s="32"/>
      <c r="R594" s="32"/>
      <c r="S594" s="32">
        <f t="shared" si="9"/>
        <v>0</v>
      </c>
      <c r="T594" s="32">
        <v>0</v>
      </c>
      <c r="U594" s="32"/>
      <c r="V594" s="32"/>
      <c r="W594" s="32"/>
      <c r="X594" s="32"/>
      <c r="Y594" s="32"/>
      <c r="Z594" s="32"/>
      <c r="AA594" s="32"/>
    </row>
    <row r="595" spans="14:27">
      <c r="N595" s="32"/>
      <c r="O595" s="32"/>
      <c r="P595" s="32"/>
      <c r="Q595" s="32"/>
      <c r="R595" s="32"/>
      <c r="S595" s="32">
        <f t="shared" si="9"/>
        <v>0</v>
      </c>
      <c r="T595" s="32">
        <v>0</v>
      </c>
      <c r="U595" s="32"/>
      <c r="V595" s="32"/>
      <c r="W595" s="32"/>
      <c r="X595" s="32"/>
      <c r="Y595" s="32"/>
      <c r="Z595" s="32"/>
      <c r="AA595" s="32"/>
    </row>
    <row r="596" spans="14:27">
      <c r="N596" s="32"/>
      <c r="O596" s="32"/>
      <c r="P596" s="32"/>
      <c r="Q596" s="32"/>
      <c r="R596" s="32"/>
      <c r="S596" s="32">
        <f t="shared" si="9"/>
        <v>0</v>
      </c>
      <c r="T596" s="32">
        <v>0</v>
      </c>
      <c r="U596" s="32"/>
      <c r="V596" s="32"/>
      <c r="W596" s="32"/>
      <c r="X596" s="32"/>
      <c r="Y596" s="32"/>
      <c r="Z596" s="32"/>
      <c r="AA596" s="32"/>
    </row>
    <row r="597" spans="14:27">
      <c r="N597" s="32"/>
      <c r="O597" s="32"/>
      <c r="P597" s="32"/>
      <c r="Q597" s="32"/>
      <c r="R597" s="32"/>
      <c r="S597" s="32">
        <f t="shared" si="9"/>
        <v>0</v>
      </c>
      <c r="T597" s="32">
        <v>0</v>
      </c>
      <c r="U597" s="32"/>
      <c r="V597" s="32"/>
      <c r="W597" s="32"/>
      <c r="X597" s="32"/>
      <c r="Y597" s="32"/>
      <c r="Z597" s="32"/>
      <c r="AA597" s="32"/>
    </row>
    <row r="598" spans="14:27">
      <c r="N598" s="32"/>
      <c r="O598" s="32"/>
      <c r="P598" s="32"/>
      <c r="Q598" s="32"/>
      <c r="R598" s="32"/>
      <c r="S598" s="32">
        <f t="shared" si="9"/>
        <v>0</v>
      </c>
      <c r="T598" s="32">
        <v>0</v>
      </c>
      <c r="U598" s="32"/>
      <c r="V598" s="32"/>
      <c r="W598" s="32"/>
      <c r="X598" s="32"/>
      <c r="Y598" s="32"/>
      <c r="Z598" s="32"/>
      <c r="AA598" s="32"/>
    </row>
    <row r="599" spans="14:27">
      <c r="N599" s="32"/>
      <c r="O599" s="32"/>
      <c r="P599" s="32"/>
      <c r="Q599" s="32"/>
      <c r="R599" s="32"/>
      <c r="S599" s="32">
        <f t="shared" si="9"/>
        <v>0</v>
      </c>
      <c r="T599" s="32">
        <v>0</v>
      </c>
      <c r="U599" s="32"/>
      <c r="V599" s="32"/>
      <c r="W599" s="32"/>
      <c r="X599" s="32"/>
      <c r="Y599" s="32"/>
      <c r="Z599" s="32"/>
      <c r="AA599" s="32"/>
    </row>
    <row r="600" spans="14:27">
      <c r="N600" s="32"/>
      <c r="O600" s="32"/>
      <c r="P600" s="32"/>
      <c r="Q600" s="32"/>
      <c r="R600" s="32"/>
      <c r="S600" s="32">
        <f t="shared" si="9"/>
        <v>0</v>
      </c>
      <c r="T600" s="32">
        <v>0</v>
      </c>
      <c r="U600" s="32"/>
      <c r="V600" s="32"/>
      <c r="W600" s="32"/>
      <c r="X600" s="32"/>
      <c r="Y600" s="32"/>
      <c r="Z600" s="32"/>
      <c r="AA600" s="32"/>
    </row>
    <row r="601" spans="14:27">
      <c r="N601" s="32"/>
      <c r="O601" s="32"/>
      <c r="P601" s="32"/>
      <c r="Q601" s="32"/>
      <c r="R601" s="32"/>
      <c r="S601" s="32">
        <f t="shared" si="9"/>
        <v>0</v>
      </c>
      <c r="T601" s="32">
        <v>0</v>
      </c>
      <c r="U601" s="32"/>
      <c r="V601" s="32"/>
      <c r="W601" s="32"/>
      <c r="X601" s="32"/>
      <c r="Y601" s="32"/>
      <c r="Z601" s="32"/>
      <c r="AA601" s="32"/>
    </row>
    <row r="602" spans="14:27">
      <c r="N602" s="32"/>
      <c r="O602" s="32"/>
      <c r="P602" s="32"/>
      <c r="Q602" s="32"/>
      <c r="R602" s="32"/>
      <c r="S602" s="32">
        <f t="shared" si="9"/>
        <v>0</v>
      </c>
      <c r="T602" s="32">
        <v>0</v>
      </c>
      <c r="U602" s="32"/>
      <c r="V602" s="32"/>
      <c r="W602" s="32"/>
      <c r="X602" s="32"/>
      <c r="Y602" s="32"/>
      <c r="Z602" s="32"/>
      <c r="AA602" s="32"/>
    </row>
    <row r="603" spans="14:27">
      <c r="N603" s="32"/>
      <c r="O603" s="32"/>
      <c r="P603" s="32"/>
      <c r="Q603" s="32"/>
      <c r="R603" s="32"/>
      <c r="S603" s="32">
        <f t="shared" si="9"/>
        <v>0</v>
      </c>
      <c r="T603" s="32">
        <v>0</v>
      </c>
      <c r="U603" s="32"/>
      <c r="V603" s="32"/>
      <c r="W603" s="32"/>
      <c r="X603" s="32"/>
      <c r="Y603" s="32"/>
      <c r="Z603" s="32"/>
      <c r="AA603" s="32"/>
    </row>
    <row r="604" spans="14:27">
      <c r="N604" s="32"/>
      <c r="O604" s="32"/>
      <c r="P604" s="32"/>
      <c r="Q604" s="32"/>
      <c r="R604" s="32"/>
      <c r="S604" s="32">
        <f t="shared" si="9"/>
        <v>0</v>
      </c>
      <c r="T604" s="32">
        <v>0</v>
      </c>
      <c r="U604" s="32"/>
      <c r="V604" s="32"/>
      <c r="W604" s="32"/>
      <c r="X604" s="32"/>
      <c r="Y604" s="32"/>
      <c r="Z604" s="32"/>
      <c r="AA604" s="32"/>
    </row>
    <row r="605" spans="14:27">
      <c r="N605" s="32"/>
      <c r="O605" s="32"/>
      <c r="P605" s="32"/>
      <c r="Q605" s="32"/>
      <c r="R605" s="32"/>
      <c r="S605" s="32">
        <f t="shared" si="9"/>
        <v>0</v>
      </c>
      <c r="T605" s="32">
        <v>0</v>
      </c>
      <c r="U605" s="32"/>
      <c r="V605" s="32"/>
      <c r="W605" s="32"/>
      <c r="X605" s="32"/>
      <c r="Y605" s="32"/>
      <c r="Z605" s="32"/>
      <c r="AA605" s="32"/>
    </row>
    <row r="606" spans="14:27">
      <c r="N606" s="32"/>
      <c r="O606" s="32"/>
      <c r="P606" s="32"/>
      <c r="Q606" s="32"/>
      <c r="R606" s="32"/>
      <c r="S606" s="32">
        <f t="shared" si="9"/>
        <v>0</v>
      </c>
      <c r="T606" s="32">
        <v>0</v>
      </c>
      <c r="U606" s="32"/>
      <c r="V606" s="32"/>
      <c r="W606" s="32"/>
      <c r="X606" s="32"/>
      <c r="Y606" s="32"/>
      <c r="Z606" s="32"/>
      <c r="AA606" s="32"/>
    </row>
    <row r="607" spans="14:27">
      <c r="N607" s="32"/>
      <c r="O607" s="32"/>
      <c r="P607" s="32"/>
      <c r="Q607" s="32"/>
      <c r="R607" s="32"/>
      <c r="S607" s="32">
        <f t="shared" si="9"/>
        <v>0</v>
      </c>
      <c r="T607" s="32">
        <v>0</v>
      </c>
      <c r="U607" s="32"/>
      <c r="V607" s="32"/>
      <c r="W607" s="32"/>
      <c r="X607" s="32"/>
      <c r="Y607" s="32"/>
      <c r="Z607" s="32"/>
      <c r="AA607" s="32"/>
    </row>
    <row r="608" spans="14:27">
      <c r="N608" s="32"/>
      <c r="O608" s="32"/>
      <c r="P608" s="32"/>
      <c r="Q608" s="32"/>
      <c r="R608" s="32"/>
      <c r="S608" s="32">
        <f t="shared" si="9"/>
        <v>0</v>
      </c>
      <c r="T608" s="32">
        <v>0</v>
      </c>
      <c r="U608" s="32"/>
      <c r="V608" s="32"/>
      <c r="W608" s="32"/>
      <c r="X608" s="32"/>
      <c r="Y608" s="32"/>
      <c r="Z608" s="32"/>
      <c r="AA608" s="32"/>
    </row>
    <row r="609" spans="14:27">
      <c r="N609" s="32"/>
      <c r="O609" s="32"/>
      <c r="P609" s="32"/>
      <c r="Q609" s="32"/>
      <c r="R609" s="32"/>
      <c r="S609" s="32">
        <f t="shared" si="9"/>
        <v>0</v>
      </c>
      <c r="T609" s="32">
        <v>0</v>
      </c>
      <c r="U609" s="32"/>
      <c r="V609" s="32"/>
      <c r="W609" s="32"/>
      <c r="X609" s="32"/>
      <c r="Y609" s="32"/>
      <c r="Z609" s="32"/>
      <c r="AA609" s="32"/>
    </row>
  </sheetData>
  <sheetProtection sheet="1" objects="1" scenarios="1" autoFilter="0"/>
  <mergeCells count="7">
    <mergeCell ref="D15:H15"/>
    <mergeCell ref="B6:C6"/>
    <mergeCell ref="B7:C7"/>
    <mergeCell ref="H6:J6"/>
    <mergeCell ref="D6:G6"/>
    <mergeCell ref="D7:E7"/>
    <mergeCell ref="F7:G7"/>
  </mergeCells>
  <conditionalFormatting sqref="F7:G7">
    <cfRule type="dataBar" priority="1">
      <dataBar>
        <cfvo type="min"/>
        <cfvo type="max"/>
        <color rgb="FF00B050"/>
      </dataBar>
      <extLst>
        <ext xmlns:x14="http://schemas.microsoft.com/office/spreadsheetml/2009/9/main" uri="{B025F937-C7B1-47D3-B67F-A62EFF666E3E}">
          <x14:id>{60FD4ED0-C0F7-4B2D-B5E8-AD9F99762633}</x14:id>
        </ext>
      </extLst>
    </cfRule>
  </conditionalFormatting>
  <conditionalFormatting sqref="J16:J148">
    <cfRule type="dataBar" priority="87">
      <dataBar>
        <cfvo type="min"/>
        <cfvo type="max"/>
        <color rgb="FF00B050"/>
      </dataBar>
    </cfRule>
  </conditionalFormatting>
  <dataValidations count="1">
    <dataValidation type="list" sqref="B7" xr:uid="{00000000-0002-0000-0100-000000000000}">
      <formula1>"Excel 2016,Excel 2019,Excel 2021,Excel 2024,Microsoft 365"</formula1>
    </dataValidation>
  </dataValidations>
  <hyperlinks>
    <hyperlink ref="I2" location="'MODE D''EMPLOI'!A1" display="MODE D'EMPLOI" xr:uid="{00000000-0004-0000-0100-000000000000}"/>
    <hyperlink ref="B16" location="'Ch.1 - Lire une formule'!A1" display="Chapitre 1 — Apprendre à lire une formule" xr:uid="{00000000-0004-0000-0100-000001000000}"/>
    <hyperlink ref="B25" location="'Ch.2 - Choisir la fonction'!A1" display="Chapitre 2 — Choisir la bonne fonction" xr:uid="{00000000-0004-0000-0100-000002000000}"/>
    <hyperlink ref="B33" location="'Ch.3 - Calculer et compter'!A1" display="Chapitre 3 — Calculer et compter" xr:uid="{00000000-0004-0000-0100-000003000000}"/>
    <hyperlink ref="B52" location="'Ch.4 - Tester conditions'!A1" display="Chapitre 4 — Tester des conditions" xr:uid="{00000000-0004-0000-0100-000004000000}"/>
    <hyperlink ref="B65" location="'Ch.5 - Manipuler le texte'!A1" display="Chapitre 5 — Manipuler et nettoyer du texte" xr:uid="{00000000-0004-0000-0100-000005000000}"/>
    <hyperlink ref="B82" location="'Ch.6 - Rechercher une info'!A1" display="Chapitre 6 — Rechercher une information" xr:uid="{00000000-0004-0000-0100-000006000000}"/>
    <hyperlink ref="B96" location="'Ch.7 - Résultats dynamiques'!A1" display="Chapitre 7 — Créer des résultats dynamiques" xr:uid="{00000000-0004-0000-0100-000007000000}"/>
    <hyperlink ref="B106" location="'Ch.8 - Plusieurs fonctions'!A1" display="Chapitre 8 — Construire une formule avec plusieurs fonctions" xr:uid="{00000000-0004-0000-0100-000008000000}"/>
    <hyperlink ref="B120" location="'Ch.9 - Dépanner formule'!A1" display="#NOM?" xr:uid="{00000000-0004-0000-0100-000009000000}"/>
    <hyperlink ref="B140" location="'Ch.10 - Devenir autonome'!A1" display="Construire par étapes" xr:uid="{00000000-0004-0000-0100-00000A000000}"/>
    <hyperlink ref="B117:H117" location="'Ch.9 - Dépanner formule'!A1" display="Chapitre 9 — Pourquoi ma formule ne fonctionne pas ?" xr:uid="{30E9A8A7-2AAD-4533-9722-6B4BAE2BEC3B}"/>
    <hyperlink ref="B137:H137" location="'Ch.10 - Devenir autonome'!A1" display="Chapitre 10 — La méthode pour devenir autonome" xr:uid="{1512AB24-131C-48B3-A55E-78178933E42F}"/>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0FD4ED0-C0F7-4B2D-B5E8-AD9F99762633}">
            <x14:dataBar minLength="0" maxLength="100">
              <x14:cfvo type="min"/>
              <x14:cfvo type="max"/>
              <x14:negativeFillColor rgb="FFFF0000"/>
              <x14:axisColor rgb="FF000000"/>
            </x14:dataBar>
          </x14:cfRule>
          <xm:sqref>F7:G7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4"/>
  <sheetViews>
    <sheetView showGridLines="0" workbookViewId="0"/>
  </sheetViews>
  <sheetFormatPr baseColWidth="10" defaultColWidth="9" defaultRowHeight="14.25"/>
  <cols>
    <col min="1" max="1" width="1.875" customWidth="1"/>
    <col min="2" max="2" width="51.875" customWidth="1"/>
    <col min="3" max="3" width="62.125" customWidth="1"/>
    <col min="4" max="4" width="9.875" customWidth="1"/>
    <col min="5" max="5" width="17.875" customWidth="1"/>
    <col min="6" max="6" width="8.875" customWidth="1"/>
    <col min="7" max="7" width="8.5" customWidth="1"/>
    <col min="8" max="8" width="10.375" customWidth="1"/>
    <col min="9" max="9" width="13.375" customWidth="1"/>
    <col min="10" max="10" width="13" customWidth="1"/>
  </cols>
  <sheetData>
    <row r="1" spans="1:10">
      <c r="A1" s="42"/>
      <c r="B1" s="42"/>
      <c r="C1" s="42"/>
      <c r="D1" s="42"/>
      <c r="E1" s="42"/>
      <c r="F1" s="42"/>
      <c r="G1" s="42"/>
      <c r="H1" s="42"/>
      <c r="I1" s="42"/>
      <c r="J1" s="42"/>
    </row>
    <row r="2" spans="1:10" ht="19.5">
      <c r="A2" s="42"/>
      <c r="B2" s="43" t="s">
        <v>86</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90</v>
      </c>
      <c r="C7" s="46" t="s">
        <v>91</v>
      </c>
    </row>
    <row r="8" spans="1:10" ht="33.950000000000003" customHeight="1">
      <c r="B8" s="47" t="s">
        <v>96</v>
      </c>
      <c r="C8" s="46" t="s">
        <v>97</v>
      </c>
    </row>
    <row r="9" spans="1:10" ht="33.950000000000003" customHeight="1">
      <c r="B9" s="47" t="s">
        <v>101</v>
      </c>
      <c r="C9" s="46" t="s">
        <v>102</v>
      </c>
    </row>
    <row r="10" spans="1:10" ht="33.950000000000003" customHeight="1">
      <c r="B10" s="47" t="s">
        <v>107</v>
      </c>
      <c r="C10" s="46" t="s">
        <v>108</v>
      </c>
    </row>
    <row r="11" spans="1:10" ht="33.950000000000003" customHeight="1">
      <c r="B11" s="47" t="s">
        <v>112</v>
      </c>
      <c r="C11" s="46" t="s">
        <v>113</v>
      </c>
    </row>
    <row r="12" spans="1:10" ht="33.950000000000003" customHeight="1">
      <c r="B12" s="47" t="s">
        <v>117</v>
      </c>
      <c r="C12" s="46" t="s">
        <v>118</v>
      </c>
    </row>
    <row r="13" spans="1:10" ht="33.950000000000003" customHeight="1">
      <c r="B13" s="35" t="s">
        <v>123</v>
      </c>
      <c r="C13" s="34" t="s">
        <v>124</v>
      </c>
    </row>
    <row r="16" spans="1:10" ht="23.1" customHeight="1">
      <c r="B16" s="521" t="s">
        <v>899</v>
      </c>
      <c r="C16" s="521"/>
      <c r="D16" s="521"/>
      <c r="E16" s="521"/>
      <c r="F16" s="521"/>
      <c r="G16" s="521"/>
      <c r="H16" s="521"/>
      <c r="I16" s="521"/>
      <c r="J16" s="521"/>
    </row>
    <row r="18" spans="2:10" ht="24" customHeight="1">
      <c r="B18" s="516" t="s">
        <v>90</v>
      </c>
      <c r="C18" s="516"/>
      <c r="D18" s="516"/>
      <c r="E18" s="516"/>
      <c r="F18" s="516"/>
      <c r="G18" s="516"/>
      <c r="H18" s="516"/>
      <c r="I18" s="516"/>
      <c r="J18" s="516"/>
    </row>
    <row r="20" spans="2:10" ht="24" customHeight="1">
      <c r="B20" s="514" t="s">
        <v>900</v>
      </c>
      <c r="C20" s="514"/>
      <c r="D20" s="514"/>
      <c r="E20" s="514"/>
      <c r="F20" s="514"/>
      <c r="G20" s="514"/>
      <c r="H20" s="122" t="s">
        <v>901</v>
      </c>
      <c r="I20" s="123" t="s">
        <v>902</v>
      </c>
    </row>
    <row r="21" spans="2:10" ht="21.95" customHeight="1">
      <c r="B21" s="515" t="s">
        <v>903</v>
      </c>
      <c r="C21" s="515"/>
      <c r="D21" s="515"/>
      <c r="E21" s="515"/>
      <c r="F21" s="515"/>
      <c r="G21" s="515"/>
      <c r="H21" s="515"/>
      <c r="I21" s="515"/>
      <c r="J21" s="515"/>
    </row>
    <row r="22" spans="2:10" ht="21.95" customHeight="1">
      <c r="B22" s="515"/>
      <c r="C22" s="515"/>
      <c r="D22" s="515"/>
      <c r="E22" s="515"/>
      <c r="F22" s="515"/>
      <c r="G22" s="515"/>
      <c r="H22" s="515"/>
      <c r="I22" s="515"/>
      <c r="J22" s="515"/>
    </row>
    <row r="24" spans="2:10" ht="24">
      <c r="B24" s="124" t="s">
        <v>26</v>
      </c>
      <c r="C24" s="124" t="s">
        <v>904</v>
      </c>
      <c r="D24" s="124" t="s">
        <v>905</v>
      </c>
      <c r="F24" s="124" t="s">
        <v>906</v>
      </c>
      <c r="G24" s="124" t="s">
        <v>907</v>
      </c>
    </row>
    <row r="25" spans="2:10" ht="15">
      <c r="B25" s="283">
        <v>125</v>
      </c>
      <c r="C25" s="284">
        <v>0.2</v>
      </c>
      <c r="D25" s="285" t="s">
        <v>908</v>
      </c>
      <c r="F25" s="278"/>
      <c r="G25" s="279"/>
    </row>
    <row r="27" spans="2:10" ht="21.95" customHeight="1">
      <c r="H27" s="199" t="s">
        <v>909</v>
      </c>
      <c r="I27" s="200" t="str">
        <f>IF(COUNTA(F25:G25)=0,"À faire",IF(AND(F25=25,G25="Non"),"✓ Correct","À revoir"))</f>
        <v>À faire</v>
      </c>
    </row>
    <row r="30" spans="2:10" ht="24" customHeight="1">
      <c r="B30" s="514" t="s">
        <v>910</v>
      </c>
      <c r="C30" s="514"/>
      <c r="D30" s="514"/>
      <c r="E30" s="514"/>
      <c r="F30" s="514"/>
      <c r="G30" s="514"/>
      <c r="H30" s="122" t="s">
        <v>901</v>
      </c>
      <c r="I30" s="123" t="s">
        <v>902</v>
      </c>
    </row>
    <row r="31" spans="2:10" ht="21.95" customHeight="1">
      <c r="B31" s="515" t="s">
        <v>911</v>
      </c>
      <c r="C31" s="515"/>
      <c r="D31" s="515"/>
      <c r="E31" s="515"/>
      <c r="F31" s="515"/>
      <c r="G31" s="515"/>
      <c r="H31" s="515"/>
      <c r="I31" s="515"/>
      <c r="J31" s="515"/>
    </row>
    <row r="32" spans="2:10" ht="21.95" customHeight="1">
      <c r="B32" s="515"/>
      <c r="C32" s="515"/>
      <c r="D32" s="515"/>
      <c r="E32" s="515"/>
      <c r="F32" s="515"/>
      <c r="G32" s="515"/>
      <c r="H32" s="515"/>
      <c r="I32" s="515"/>
      <c r="J32" s="515"/>
    </row>
    <row r="34" spans="2:10">
      <c r="B34" s="124" t="s">
        <v>912</v>
      </c>
      <c r="C34" s="124" t="s">
        <v>913</v>
      </c>
      <c r="D34" s="124" t="s">
        <v>914</v>
      </c>
      <c r="E34" s="124" t="s">
        <v>905</v>
      </c>
      <c r="F34" s="124" t="s">
        <v>906</v>
      </c>
      <c r="G34" s="124" t="s">
        <v>915</v>
      </c>
      <c r="H34" s="124" t="s">
        <v>916</v>
      </c>
    </row>
    <row r="35" spans="2:10" ht="15">
      <c r="B35" s="286">
        <v>12</v>
      </c>
      <c r="C35" s="287">
        <v>8</v>
      </c>
      <c r="D35" s="287">
        <v>5</v>
      </c>
      <c r="E35" s="288" t="s">
        <v>917</v>
      </c>
      <c r="F35" s="278"/>
      <c r="G35" s="280"/>
      <c r="H35" s="279"/>
    </row>
    <row r="37" spans="2:10" ht="21.95" customHeight="1">
      <c r="H37" s="199" t="s">
        <v>909</v>
      </c>
      <c r="I37" s="200" t="str">
        <f>IF(COUNTA(F35:H35)=0,"À faire",IF(AND(F35=25,UPPER(G35)="SOMME",UPPER(H35)="B35:D35"),"✓ Correct","À revoir"))</f>
        <v>À faire</v>
      </c>
    </row>
    <row r="40" spans="2:10" ht="24" customHeight="1">
      <c r="B40" s="516" t="s">
        <v>96</v>
      </c>
      <c r="C40" s="516"/>
      <c r="D40" s="516"/>
      <c r="E40" s="516"/>
      <c r="F40" s="516"/>
      <c r="G40" s="516"/>
      <c r="H40" s="516"/>
      <c r="I40" s="516"/>
      <c r="J40" s="516"/>
    </row>
    <row r="42" spans="2:10" ht="24" customHeight="1">
      <c r="B42" s="514" t="s">
        <v>918</v>
      </c>
      <c r="C42" s="514"/>
      <c r="D42" s="514"/>
      <c r="E42" s="514"/>
      <c r="F42" s="514"/>
      <c r="G42" s="514"/>
      <c r="H42" s="122" t="s">
        <v>901</v>
      </c>
      <c r="I42" s="123" t="s">
        <v>902</v>
      </c>
    </row>
    <row r="43" spans="2:10" ht="21.95" customHeight="1">
      <c r="B43" s="515" t="s">
        <v>919</v>
      </c>
      <c r="C43" s="515"/>
      <c r="D43" s="515"/>
      <c r="E43" s="515"/>
      <c r="F43" s="515"/>
      <c r="G43" s="515"/>
      <c r="H43" s="515"/>
      <c r="I43" s="515"/>
      <c r="J43" s="515"/>
    </row>
    <row r="44" spans="2:10" ht="21.95" customHeight="1">
      <c r="B44" s="515"/>
      <c r="C44" s="515"/>
      <c r="D44" s="515"/>
      <c r="E44" s="515"/>
      <c r="F44" s="515"/>
      <c r="G44" s="515"/>
      <c r="H44" s="515"/>
      <c r="I44" s="515"/>
      <c r="J44" s="515"/>
    </row>
    <row r="46" spans="2:10" ht="24">
      <c r="B46" s="124" t="s">
        <v>920</v>
      </c>
      <c r="C46" s="124" t="s">
        <v>921</v>
      </c>
      <c r="E46" s="124" t="s">
        <v>922</v>
      </c>
      <c r="F46" s="124" t="s">
        <v>921</v>
      </c>
    </row>
    <row r="47" spans="2:10" ht="15">
      <c r="B47" s="289" t="s">
        <v>923</v>
      </c>
      <c r="C47" s="281"/>
      <c r="E47" s="289" t="s">
        <v>924</v>
      </c>
      <c r="F47" s="281"/>
    </row>
    <row r="49" spans="2:10" ht="21.95" customHeight="1">
      <c r="H49" s="199" t="s">
        <v>909</v>
      </c>
      <c r="I49" s="200" t="str">
        <f>IF(COUNTA(C47,F47)=0,"À faire",IF(AND(C47=11,F47=21),"✓ Correct","À revoir"))</f>
        <v>À faire</v>
      </c>
    </row>
    <row r="52" spans="2:10" ht="24" customHeight="1">
      <c r="B52" s="516" t="s">
        <v>101</v>
      </c>
      <c r="C52" s="516"/>
      <c r="D52" s="516"/>
      <c r="E52" s="516"/>
      <c r="F52" s="516"/>
      <c r="G52" s="516"/>
      <c r="H52" s="516"/>
      <c r="I52" s="516"/>
      <c r="J52" s="516"/>
    </row>
    <row r="54" spans="2:10" ht="24" customHeight="1">
      <c r="B54" s="514" t="s">
        <v>925</v>
      </c>
      <c r="C54" s="514"/>
      <c r="D54" s="514"/>
      <c r="E54" s="514"/>
      <c r="F54" s="514"/>
      <c r="G54" s="514"/>
      <c r="H54" s="122" t="s">
        <v>901</v>
      </c>
      <c r="I54" s="123" t="s">
        <v>902</v>
      </c>
    </row>
    <row r="55" spans="2:10" ht="21.95" customHeight="1">
      <c r="B55" s="515" t="s">
        <v>926</v>
      </c>
      <c r="C55" s="515"/>
      <c r="D55" s="515"/>
      <c r="E55" s="515"/>
      <c r="F55" s="515"/>
      <c r="G55" s="515"/>
      <c r="H55" s="515"/>
      <c r="I55" s="515"/>
      <c r="J55" s="515"/>
    </row>
    <row r="56" spans="2:10" ht="21.95" customHeight="1">
      <c r="B56" s="515"/>
      <c r="C56" s="515"/>
      <c r="D56" s="515"/>
      <c r="E56" s="515"/>
      <c r="F56" s="515"/>
      <c r="G56" s="515"/>
      <c r="H56" s="515"/>
      <c r="I56" s="515"/>
      <c r="J56" s="515"/>
    </row>
    <row r="58" spans="2:10" ht="24">
      <c r="B58" s="124" t="s">
        <v>26</v>
      </c>
      <c r="C58" s="124" t="s">
        <v>904</v>
      </c>
      <c r="D58" s="124" t="s">
        <v>927</v>
      </c>
      <c r="F58" s="124" t="s">
        <v>928</v>
      </c>
    </row>
    <row r="59" spans="2:10">
      <c r="B59" s="286">
        <v>125</v>
      </c>
      <c r="C59" s="290">
        <v>0.2</v>
      </c>
      <c r="D59" s="281"/>
      <c r="F59" s="126" t="str">
        <f>IF(D59="","",D59)</f>
        <v/>
      </c>
    </row>
    <row r="61" spans="2:10" ht="21.95" customHeight="1">
      <c r="H61" s="199" t="s">
        <v>909</v>
      </c>
      <c r="I61" s="200" t="str">
        <f>IF(D59="","À faire",IF(ABS(F59-25)&lt;0.000001,"✓ Correct","À revoir"))</f>
        <v>À faire</v>
      </c>
    </row>
    <row r="64" spans="2:10" ht="24" customHeight="1">
      <c r="B64" s="516" t="s">
        <v>107</v>
      </c>
      <c r="C64" s="516"/>
      <c r="D64" s="516"/>
      <c r="E64" s="516"/>
      <c r="F64" s="516"/>
      <c r="G64" s="516"/>
      <c r="H64" s="516"/>
      <c r="I64" s="516"/>
      <c r="J64" s="516"/>
    </row>
    <row r="66" spans="2:10" ht="24" customHeight="1">
      <c r="B66" s="514" t="s">
        <v>929</v>
      </c>
      <c r="C66" s="514"/>
      <c r="D66" s="514"/>
      <c r="E66" s="514"/>
      <c r="F66" s="514"/>
      <c r="G66" s="514"/>
      <c r="H66" s="122" t="s">
        <v>930</v>
      </c>
      <c r="I66" s="123" t="s">
        <v>902</v>
      </c>
    </row>
    <row r="67" spans="2:10" ht="21.95" customHeight="1">
      <c r="B67" s="515" t="s">
        <v>931</v>
      </c>
      <c r="C67" s="515"/>
      <c r="D67" s="515"/>
      <c r="E67" s="515"/>
      <c r="F67" s="515"/>
      <c r="G67" s="515"/>
      <c r="H67" s="515"/>
      <c r="I67" s="515"/>
      <c r="J67" s="515"/>
    </row>
    <row r="68" spans="2:10" ht="21.95" customHeight="1">
      <c r="B68" s="515"/>
      <c r="C68" s="515"/>
      <c r="D68" s="515"/>
      <c r="E68" s="515"/>
      <c r="F68" s="515"/>
      <c r="G68" s="515"/>
      <c r="H68" s="515"/>
      <c r="I68" s="515"/>
      <c r="J68" s="515"/>
    </row>
    <row r="70" spans="2:10">
      <c r="B70" s="124" t="s">
        <v>24</v>
      </c>
      <c r="C70" s="124" t="s">
        <v>932</v>
      </c>
      <c r="D70" s="124" t="s">
        <v>933</v>
      </c>
      <c r="E70" s="124" t="s">
        <v>26</v>
      </c>
    </row>
    <row r="71" spans="2:10">
      <c r="B71" s="283" t="s">
        <v>934</v>
      </c>
      <c r="C71" s="298">
        <v>2</v>
      </c>
      <c r="D71" s="302">
        <v>12.5</v>
      </c>
      <c r="E71" s="292"/>
    </row>
    <row r="72" spans="2:10">
      <c r="B72" s="283" t="s">
        <v>935</v>
      </c>
      <c r="C72" s="298">
        <v>5</v>
      </c>
      <c r="D72" s="302">
        <v>4.8</v>
      </c>
      <c r="E72" s="292"/>
    </row>
    <row r="73" spans="2:10">
      <c r="B73" s="283" t="s">
        <v>936</v>
      </c>
      <c r="C73" s="298">
        <v>3</v>
      </c>
      <c r="D73" s="302">
        <v>19.899999999999999</v>
      </c>
      <c r="E73" s="293"/>
    </row>
    <row r="75" spans="2:10" ht="21.95" customHeight="1">
      <c r="H75" s="199" t="s">
        <v>909</v>
      </c>
      <c r="I75" s="200" t="str">
        <f>IF(COUNTA(E71:E73)=0,"À faire",IF(AND(ABS(E71-25)&lt;0.001,ABS(E72-24)&lt;0.001,ABS(E73-59.7)&lt;0.001),"✓ Correct","À revoir"))</f>
        <v>À faire</v>
      </c>
    </row>
    <row r="78" spans="2:10" ht="24" customHeight="1">
      <c r="B78" s="514" t="s">
        <v>937</v>
      </c>
      <c r="C78" s="514"/>
      <c r="D78" s="514"/>
      <c r="E78" s="514"/>
      <c r="F78" s="514"/>
      <c r="G78" s="514"/>
      <c r="H78" s="122" t="s">
        <v>930</v>
      </c>
      <c r="I78" s="123" t="s">
        <v>902</v>
      </c>
    </row>
    <row r="79" spans="2:10" ht="21.95" customHeight="1">
      <c r="B79" s="515" t="s">
        <v>938</v>
      </c>
      <c r="C79" s="515"/>
      <c r="D79" s="515"/>
      <c r="E79" s="515"/>
      <c r="F79" s="515"/>
      <c r="G79" s="515"/>
      <c r="H79" s="515"/>
      <c r="I79" s="515"/>
      <c r="J79" s="515"/>
    </row>
    <row r="80" spans="2:10" ht="21.95" customHeight="1">
      <c r="B80" s="515"/>
      <c r="C80" s="515"/>
      <c r="D80" s="515"/>
      <c r="E80" s="515"/>
      <c r="F80" s="515"/>
      <c r="G80" s="515"/>
      <c r="H80" s="515"/>
      <c r="I80" s="515"/>
      <c r="J80" s="515"/>
    </row>
    <row r="82" spans="1:10">
      <c r="B82" s="124" t="s">
        <v>939</v>
      </c>
      <c r="C82" s="124" t="s">
        <v>940</v>
      </c>
      <c r="D82" s="124" t="s">
        <v>941</v>
      </c>
      <c r="G82" s="124" t="s">
        <v>942</v>
      </c>
    </row>
    <row r="83" spans="1:10">
      <c r="B83" s="283" t="s">
        <v>943</v>
      </c>
      <c r="C83" s="302">
        <v>1250</v>
      </c>
      <c r="D83" s="293"/>
      <c r="G83" s="291">
        <v>0.04</v>
      </c>
    </row>
    <row r="84" spans="1:10">
      <c r="B84" s="283" t="s">
        <v>944</v>
      </c>
      <c r="C84" s="302">
        <v>860</v>
      </c>
      <c r="D84" s="293"/>
    </row>
    <row r="85" spans="1:10">
      <c r="B85" s="283" t="s">
        <v>945</v>
      </c>
      <c r="C85" s="302">
        <v>2100</v>
      </c>
      <c r="D85" s="293"/>
    </row>
    <row r="87" spans="1:10" ht="21.95" customHeight="1">
      <c r="H87" s="199" t="s">
        <v>909</v>
      </c>
      <c r="I87" s="200" t="str">
        <f>IF(COUNTA(D83:D85)=0,"À faire",IF(AND(ABS(D83-50)&lt;0.001,ABS(D84-34.4)&lt;0.001,ABS(D85-84)&lt;0.001),"✓ Correct","À revoir"))</f>
        <v>À faire</v>
      </c>
    </row>
    <row r="90" spans="1:10" ht="24" customHeight="1">
      <c r="B90" s="514" t="s">
        <v>946</v>
      </c>
      <c r="C90" s="514"/>
      <c r="D90" s="514"/>
      <c r="E90" s="514"/>
      <c r="F90" s="514"/>
      <c r="G90" s="514"/>
      <c r="H90" s="122" t="s">
        <v>947</v>
      </c>
      <c r="I90" s="123" t="s">
        <v>902</v>
      </c>
    </row>
    <row r="91" spans="1:10" ht="21.95" customHeight="1">
      <c r="B91" s="515" t="s">
        <v>948</v>
      </c>
      <c r="C91" s="515"/>
      <c r="D91" s="515"/>
      <c r="E91" s="515"/>
      <c r="F91" s="515"/>
      <c r="G91" s="515"/>
      <c r="H91" s="515"/>
      <c r="I91" s="515"/>
      <c r="J91" s="515"/>
    </row>
    <row r="92" spans="1:10" ht="21.95" customHeight="1">
      <c r="B92" s="515"/>
      <c r="C92" s="515"/>
      <c r="D92" s="515"/>
      <c r="E92" s="515"/>
      <c r="F92" s="515"/>
      <c r="G92" s="515"/>
      <c r="H92" s="515"/>
      <c r="I92" s="515"/>
      <c r="J92" s="515"/>
    </row>
    <row r="95" spans="1:10" ht="15">
      <c r="A95" s="124" t="s">
        <v>949</v>
      </c>
      <c r="B95" s="127">
        <v>10</v>
      </c>
      <c r="C95" s="127">
        <v>20</v>
      </c>
      <c r="D95" s="127">
        <v>30</v>
      </c>
    </row>
    <row r="96" spans="1:10" ht="15">
      <c r="A96" s="127">
        <v>2</v>
      </c>
      <c r="B96" s="278"/>
      <c r="C96" s="280"/>
      <c r="D96" s="279"/>
    </row>
    <row r="97" spans="1:10" ht="15">
      <c r="A97" s="127">
        <v>3</v>
      </c>
      <c r="B97" s="278"/>
      <c r="C97" s="280"/>
      <c r="D97" s="279"/>
    </row>
    <row r="98" spans="1:10" ht="15">
      <c r="A98" s="127">
        <v>4</v>
      </c>
      <c r="B98" s="278"/>
      <c r="C98" s="280"/>
      <c r="D98" s="279"/>
    </row>
    <row r="100" spans="1:10" ht="21.95" customHeight="1">
      <c r="H100" s="199" t="s">
        <v>909</v>
      </c>
      <c r="I100" s="200" t="str">
        <f>IF(COUNTA(B96:D98)=0,"À faire",IF(AND(B96=20,C96=40,D96=60,B97=30,C97=60,D97=90,B98=40,C98=80,D98=120),"✓ Correct","À revoir"))</f>
        <v>À faire</v>
      </c>
    </row>
    <row r="103" spans="1:10" ht="24" customHeight="1">
      <c r="B103" s="516" t="s">
        <v>112</v>
      </c>
      <c r="C103" s="516"/>
      <c r="D103" s="516"/>
      <c r="E103" s="516"/>
      <c r="F103" s="516"/>
      <c r="G103" s="516"/>
      <c r="H103" s="516"/>
      <c r="I103" s="516"/>
      <c r="J103" s="516"/>
    </row>
    <row r="105" spans="1:10" ht="24" customHeight="1">
      <c r="B105" s="514" t="s">
        <v>950</v>
      </c>
      <c r="C105" s="514"/>
      <c r="D105" s="514"/>
      <c r="E105" s="514"/>
      <c r="F105" s="514"/>
      <c r="G105" s="514"/>
      <c r="H105" s="122" t="s">
        <v>930</v>
      </c>
      <c r="I105" s="123" t="s">
        <v>902</v>
      </c>
    </row>
    <row r="106" spans="1:10" ht="21.95" customHeight="1">
      <c r="B106" s="515" t="s">
        <v>951</v>
      </c>
      <c r="C106" s="515"/>
      <c r="D106" s="515"/>
      <c r="E106" s="515"/>
      <c r="F106" s="515"/>
      <c r="G106" s="515"/>
      <c r="H106" s="515"/>
      <c r="I106" s="515"/>
      <c r="J106" s="515"/>
    </row>
    <row r="107" spans="1:10" ht="21.95" customHeight="1">
      <c r="B107" s="515"/>
      <c r="C107" s="515"/>
      <c r="D107" s="515"/>
      <c r="E107" s="515"/>
      <c r="F107" s="515"/>
      <c r="G107" s="515"/>
      <c r="H107" s="515"/>
      <c r="I107" s="515"/>
      <c r="J107" s="515"/>
    </row>
    <row r="109" spans="1:10">
      <c r="B109" s="124" t="s">
        <v>952</v>
      </c>
      <c r="C109" s="124" t="s">
        <v>927</v>
      </c>
      <c r="E109" s="124" t="s">
        <v>953</v>
      </c>
    </row>
    <row r="110" spans="1:10">
      <c r="B110" s="294">
        <v>123.4567</v>
      </c>
      <c r="C110" s="281"/>
      <c r="E110" s="128">
        <v>123.46</v>
      </c>
    </row>
    <row r="112" spans="1:10" ht="21.95" customHeight="1">
      <c r="H112" s="199" t="s">
        <v>909</v>
      </c>
      <c r="I112" s="200" t="str">
        <f>IF(C110="","À faire",IF(ABS(C110-123.46)&lt;0.00001,"✓ Correct","À revoir"))</f>
        <v>À faire</v>
      </c>
    </row>
    <row r="115" spans="2:10" ht="24" customHeight="1">
      <c r="B115" s="514" t="s">
        <v>954</v>
      </c>
      <c r="C115" s="514"/>
      <c r="D115" s="514"/>
      <c r="E115" s="514"/>
      <c r="F115" s="514"/>
      <c r="G115" s="514"/>
      <c r="H115" s="122" t="s">
        <v>930</v>
      </c>
      <c r="I115" s="123" t="s">
        <v>902</v>
      </c>
    </row>
    <row r="116" spans="2:10" ht="21.95" customHeight="1">
      <c r="B116" s="515" t="s">
        <v>955</v>
      </c>
      <c r="C116" s="515"/>
      <c r="D116" s="515"/>
      <c r="E116" s="515"/>
      <c r="F116" s="515"/>
      <c r="G116" s="515"/>
      <c r="H116" s="515"/>
      <c r="I116" s="515"/>
      <c r="J116" s="515"/>
    </row>
    <row r="117" spans="2:10" ht="21.95" customHeight="1">
      <c r="B117" s="515"/>
      <c r="C117" s="515"/>
      <c r="D117" s="515"/>
      <c r="E117" s="515"/>
      <c r="F117" s="515"/>
      <c r="G117" s="515"/>
      <c r="H117" s="515"/>
      <c r="I117" s="515"/>
      <c r="J117" s="515"/>
    </row>
    <row r="119" spans="2:10">
      <c r="B119" s="124" t="s">
        <v>905</v>
      </c>
      <c r="E119" s="124" t="s">
        <v>956</v>
      </c>
      <c r="F119" s="124" t="s">
        <v>957</v>
      </c>
      <c r="G119" s="124" t="s">
        <v>958</v>
      </c>
      <c r="H119" s="124" t="s">
        <v>959</v>
      </c>
    </row>
    <row r="120" spans="2:10">
      <c r="B120" s="518" t="s">
        <v>960</v>
      </c>
      <c r="C120" s="519"/>
      <c r="D120" s="520"/>
      <c r="E120" s="278"/>
      <c r="F120" s="280"/>
      <c r="G120" s="280"/>
      <c r="H120" s="279"/>
    </row>
    <row r="122" spans="2:10" ht="21.95" customHeight="1">
      <c r="H122" s="199" t="s">
        <v>909</v>
      </c>
      <c r="I122" s="200" t="str">
        <f>IF(COUNTA(E120:H120)=0,"À faire",IF(AND(E120=3,F120=";",G120="Oui",H120="Non"),"✓ Correct","À revoir"))</f>
        <v>À faire</v>
      </c>
    </row>
    <row r="125" spans="2:10" ht="24" customHeight="1">
      <c r="B125" s="516" t="s">
        <v>117</v>
      </c>
      <c r="C125" s="516"/>
      <c r="D125" s="516"/>
      <c r="E125" s="516"/>
      <c r="F125" s="516"/>
      <c r="G125" s="516"/>
      <c r="H125" s="516"/>
      <c r="I125" s="516"/>
      <c r="J125" s="516"/>
    </row>
    <row r="127" spans="2:10" ht="24" customHeight="1">
      <c r="B127" s="514" t="s">
        <v>961</v>
      </c>
      <c r="C127" s="514"/>
      <c r="D127" s="514"/>
      <c r="E127" s="514"/>
      <c r="F127" s="514"/>
      <c r="G127" s="514"/>
      <c r="H127" s="122" t="s">
        <v>930</v>
      </c>
      <c r="I127" s="123" t="s">
        <v>902</v>
      </c>
    </row>
    <row r="128" spans="2:10" ht="21.95" customHeight="1">
      <c r="B128" s="515" t="s">
        <v>962</v>
      </c>
      <c r="C128" s="515"/>
      <c r="D128" s="515"/>
      <c r="E128" s="515"/>
      <c r="F128" s="515"/>
      <c r="G128" s="515"/>
      <c r="H128" s="515"/>
      <c r="I128" s="515"/>
      <c r="J128" s="515"/>
    </row>
    <row r="129" spans="2:10" ht="21.95" customHeight="1">
      <c r="B129" s="515"/>
      <c r="C129" s="515"/>
      <c r="D129" s="515"/>
      <c r="E129" s="515"/>
      <c r="F129" s="515"/>
      <c r="G129" s="515"/>
      <c r="H129" s="515"/>
      <c r="I129" s="515"/>
      <c r="J129" s="515"/>
    </row>
    <row r="131" spans="2:10">
      <c r="B131" s="124" t="s">
        <v>963</v>
      </c>
      <c r="C131" s="124" t="s">
        <v>927</v>
      </c>
      <c r="E131" s="124" t="s">
        <v>953</v>
      </c>
    </row>
    <row r="132" spans="2:10">
      <c r="B132" s="294" t="s">
        <v>964</v>
      </c>
      <c r="C132" s="281"/>
      <c r="E132" s="126" t="s">
        <v>965</v>
      </c>
    </row>
    <row r="134" spans="2:10" ht="21.95" customHeight="1">
      <c r="H134" s="199" t="s">
        <v>909</v>
      </c>
      <c r="I134" s="200" t="str">
        <f>IF(C132="","À faire",IF(C132="Bonjour Martin","✓ Correct","À revoir"))</f>
        <v>À faire</v>
      </c>
    </row>
    <row r="137" spans="2:10" ht="24" customHeight="1">
      <c r="B137" s="514" t="s">
        <v>966</v>
      </c>
      <c r="C137" s="514"/>
      <c r="D137" s="514"/>
      <c r="E137" s="514"/>
      <c r="F137" s="514"/>
      <c r="G137" s="514"/>
      <c r="H137" s="122" t="s">
        <v>930</v>
      </c>
      <c r="I137" s="123" t="s">
        <v>902</v>
      </c>
    </row>
    <row r="138" spans="2:10" ht="21.95" customHeight="1">
      <c r="B138" s="515" t="s">
        <v>967</v>
      </c>
      <c r="C138" s="515"/>
      <c r="D138" s="515"/>
      <c r="E138" s="515"/>
      <c r="F138" s="515"/>
      <c r="G138" s="515"/>
      <c r="H138" s="515"/>
      <c r="I138" s="515"/>
      <c r="J138" s="515"/>
    </row>
    <row r="139" spans="2:10" ht="21.95" customHeight="1">
      <c r="B139" s="515"/>
      <c r="C139" s="515"/>
      <c r="D139" s="515"/>
      <c r="E139" s="515"/>
      <c r="F139" s="515"/>
      <c r="G139" s="515"/>
      <c r="H139" s="515"/>
      <c r="I139" s="515"/>
      <c r="J139" s="515"/>
    </row>
    <row r="141" spans="2:10">
      <c r="B141" s="124" t="s">
        <v>968</v>
      </c>
      <c r="D141" s="124" t="s">
        <v>969</v>
      </c>
      <c r="F141" s="124" t="s">
        <v>970</v>
      </c>
    </row>
    <row r="142" spans="2:10">
      <c r="B142" s="295"/>
      <c r="D142" s="295">
        <v>0</v>
      </c>
      <c r="F142" s="295" t="str">
        <f>""</f>
        <v/>
      </c>
    </row>
    <row r="144" spans="2:10" ht="24">
      <c r="B144" s="124" t="s">
        <v>971</v>
      </c>
      <c r="D144" s="124" t="s">
        <v>971</v>
      </c>
      <c r="F144" s="124" t="s">
        <v>971</v>
      </c>
    </row>
    <row r="145" spans="2:10">
      <c r="B145" s="281"/>
      <c r="D145" s="281"/>
      <c r="F145" s="281"/>
    </row>
    <row r="147" spans="2:10" ht="21.95" customHeight="1">
      <c r="H147" s="199" t="s">
        <v>909</v>
      </c>
      <c r="I147" s="200" t="str">
        <f>IF(COUNTA(B145,D145,F145)=0,"À faire",IF(AND(B145="Cellule vide",D145="Zéro",F145="Chaîne vide"),"✓ Correct","À revoir"))</f>
        <v>À faire</v>
      </c>
    </row>
    <row r="150" spans="2:10" ht="24" customHeight="1">
      <c r="B150" s="514" t="s">
        <v>972</v>
      </c>
      <c r="C150" s="514"/>
      <c r="D150" s="514"/>
      <c r="E150" s="514"/>
      <c r="F150" s="514"/>
      <c r="G150" s="514"/>
      <c r="H150" s="122" t="s">
        <v>930</v>
      </c>
      <c r="I150" s="123" t="s">
        <v>902</v>
      </c>
    </row>
    <row r="151" spans="2:10" ht="21.95" customHeight="1">
      <c r="B151" s="515" t="s">
        <v>973</v>
      </c>
      <c r="C151" s="515"/>
      <c r="D151" s="515"/>
      <c r="E151" s="515"/>
      <c r="F151" s="515"/>
      <c r="G151" s="515"/>
      <c r="H151" s="515"/>
      <c r="I151" s="515"/>
      <c r="J151" s="515"/>
    </row>
    <row r="152" spans="2:10" ht="21.95" customHeight="1">
      <c r="B152" s="515"/>
      <c r="C152" s="515"/>
      <c r="D152" s="515"/>
      <c r="E152" s="515"/>
      <c r="F152" s="515"/>
      <c r="G152" s="515"/>
      <c r="H152" s="515"/>
      <c r="I152" s="515"/>
      <c r="J152" s="515"/>
    </row>
    <row r="154" spans="2:10">
      <c r="B154" s="124" t="s">
        <v>974</v>
      </c>
      <c r="C154" s="124" t="s">
        <v>975</v>
      </c>
      <c r="D154" s="124" t="s">
        <v>976</v>
      </c>
      <c r="E154" s="124" t="s">
        <v>977</v>
      </c>
      <c r="F154" s="124" t="s">
        <v>978</v>
      </c>
    </row>
    <row r="155" spans="2:10">
      <c r="B155" s="283">
        <v>125</v>
      </c>
      <c r="C155" s="296" t="s">
        <v>979</v>
      </c>
      <c r="D155" s="297">
        <v>46249</v>
      </c>
      <c r="E155" s="298" t="b">
        <f>2&lt;3</f>
        <v>1</v>
      </c>
      <c r="F155" s="299" t="s">
        <v>980</v>
      </c>
    </row>
    <row r="157" spans="2:10">
      <c r="B157" s="281"/>
      <c r="C157" s="281"/>
      <c r="D157" s="281"/>
      <c r="E157" s="281"/>
      <c r="F157" s="281"/>
    </row>
    <row r="159" spans="2:10" ht="21.95" customHeight="1">
      <c r="H159" s="199" t="s">
        <v>909</v>
      </c>
      <c r="I159" s="200" t="str">
        <f>IF(COUNTA(B157:F157)=0,"À faire",IF(AND(B157="Nombre",C157="Texte",D157="Date",E157="Valeur logique",F157="Texte"),"✓ Correct","À revoir"))</f>
        <v>À faire</v>
      </c>
    </row>
    <row r="162" spans="2:10" ht="24" customHeight="1">
      <c r="B162" s="516" t="s">
        <v>123</v>
      </c>
      <c r="C162" s="516"/>
      <c r="D162" s="516"/>
      <c r="E162" s="516"/>
      <c r="F162" s="516"/>
      <c r="G162" s="516"/>
      <c r="H162" s="516"/>
      <c r="I162" s="516"/>
      <c r="J162" s="516"/>
    </row>
    <row r="164" spans="2:10" ht="24" customHeight="1">
      <c r="B164" s="514" t="s">
        <v>981</v>
      </c>
      <c r="C164" s="514"/>
      <c r="D164" s="514"/>
      <c r="E164" s="514"/>
      <c r="F164" s="514"/>
      <c r="G164" s="514"/>
      <c r="H164" s="122" t="s">
        <v>947</v>
      </c>
      <c r="I164" s="123" t="s">
        <v>902</v>
      </c>
    </row>
    <row r="165" spans="2:10" ht="21.95" customHeight="1">
      <c r="B165" s="515" t="s">
        <v>982</v>
      </c>
      <c r="C165" s="515"/>
      <c r="D165" s="515"/>
      <c r="E165" s="515"/>
      <c r="F165" s="515"/>
      <c r="G165" s="515"/>
      <c r="H165" s="515"/>
      <c r="I165" s="515"/>
      <c r="J165" s="515"/>
    </row>
    <row r="166" spans="2:10" ht="21.95" customHeight="1">
      <c r="B166" s="515"/>
      <c r="C166" s="515"/>
      <c r="D166" s="515"/>
      <c r="E166" s="515"/>
      <c r="F166" s="515"/>
      <c r="G166" s="515"/>
      <c r="H166" s="515"/>
      <c r="I166" s="515"/>
      <c r="J166" s="515"/>
    </row>
    <row r="168" spans="2:10" ht="24" customHeight="1">
      <c r="B168" s="124" t="s">
        <v>983</v>
      </c>
      <c r="C168" s="124" t="s">
        <v>984</v>
      </c>
      <c r="D168" s="517" t="s">
        <v>905</v>
      </c>
      <c r="E168" s="517"/>
      <c r="F168" s="517"/>
    </row>
    <row r="169" spans="2:10">
      <c r="B169" s="283">
        <v>19.954999999999998</v>
      </c>
      <c r="C169" s="298">
        <v>3</v>
      </c>
      <c r="D169" s="512" t="s">
        <v>985</v>
      </c>
      <c r="E169" s="512"/>
      <c r="F169" s="513"/>
    </row>
    <row r="171" spans="2:10" ht="24">
      <c r="B171" s="124" t="s">
        <v>906</v>
      </c>
      <c r="C171" s="124" t="s">
        <v>915</v>
      </c>
      <c r="D171" s="124" t="s">
        <v>986</v>
      </c>
      <c r="E171" s="124" t="s">
        <v>987</v>
      </c>
      <c r="F171" s="124" t="s">
        <v>988</v>
      </c>
    </row>
    <row r="172" spans="2:10">
      <c r="B172" s="278"/>
      <c r="C172" s="280"/>
      <c r="D172" s="280"/>
      <c r="E172" s="280"/>
      <c r="F172" s="279"/>
    </row>
    <row r="174" spans="2:10" ht="21.95" customHeight="1">
      <c r="H174" s="199" t="s">
        <v>909</v>
      </c>
      <c r="I174" s="200" t="str">
        <f>IF(COUNTA(B172:F172)=0,"À faire",IF(AND(ABS(B172-59.87)&lt;0.00001,UPPER(C172)="ARRONDI",D172="*",UPPER(E172)="B169*C169",F172=2),"✓ Correct","À revoir"))</f>
        <v>À faire</v>
      </c>
    </row>
  </sheetData>
  <sheetProtection sheet="1" objects="1" scenarios="1" autoFilter="0"/>
  <mergeCells count="37">
    <mergeCell ref="B16:J16"/>
    <mergeCell ref="B18:J18"/>
    <mergeCell ref="B20:G20"/>
    <mergeCell ref="B21:J22"/>
    <mergeCell ref="B30:G30"/>
    <mergeCell ref="B31:J32"/>
    <mergeCell ref="B40:J40"/>
    <mergeCell ref="B42:G42"/>
    <mergeCell ref="B43:J44"/>
    <mergeCell ref="B52:J52"/>
    <mergeCell ref="B54:G54"/>
    <mergeCell ref="B55:J56"/>
    <mergeCell ref="B64:J64"/>
    <mergeCell ref="B66:G66"/>
    <mergeCell ref="B67:J68"/>
    <mergeCell ref="B78:G78"/>
    <mergeCell ref="B79:J80"/>
    <mergeCell ref="B90:G90"/>
    <mergeCell ref="B91:J92"/>
    <mergeCell ref="B103:J103"/>
    <mergeCell ref="B105:G105"/>
    <mergeCell ref="B106:J107"/>
    <mergeCell ref="B115:G115"/>
    <mergeCell ref="B116:J117"/>
    <mergeCell ref="B120:D120"/>
    <mergeCell ref="B125:J125"/>
    <mergeCell ref="B127:G127"/>
    <mergeCell ref="B128:J129"/>
    <mergeCell ref="B137:G137"/>
    <mergeCell ref="B138:J139"/>
    <mergeCell ref="D169:F169"/>
    <mergeCell ref="B150:G150"/>
    <mergeCell ref="B151:J152"/>
    <mergeCell ref="B162:J162"/>
    <mergeCell ref="B164:G164"/>
    <mergeCell ref="B165:J166"/>
    <mergeCell ref="D168:F168"/>
  </mergeCells>
  <conditionalFormatting sqref="I27">
    <cfRule type="expression" dxfId="710" priority="1">
      <formula>I27="✓ Correct"</formula>
    </cfRule>
    <cfRule type="expression" dxfId="709" priority="2">
      <formula>I27="À revoir"</formula>
    </cfRule>
    <cfRule type="expression" dxfId="708" priority="3">
      <formula>I27="À faire"</formula>
    </cfRule>
  </conditionalFormatting>
  <conditionalFormatting sqref="I37">
    <cfRule type="expression" dxfId="707" priority="4">
      <formula>I37="✓ Correct"</formula>
    </cfRule>
    <cfRule type="expression" dxfId="706" priority="5">
      <formula>I37="À revoir"</formula>
    </cfRule>
    <cfRule type="expression" dxfId="705" priority="6">
      <formula>I37="À faire"</formula>
    </cfRule>
  </conditionalFormatting>
  <conditionalFormatting sqref="I49">
    <cfRule type="expression" dxfId="704" priority="7">
      <formula>I49="✓ Correct"</formula>
    </cfRule>
    <cfRule type="expression" dxfId="703" priority="8">
      <formula>I49="À revoir"</formula>
    </cfRule>
    <cfRule type="expression" dxfId="702" priority="9">
      <formula>I49="À faire"</formula>
    </cfRule>
  </conditionalFormatting>
  <conditionalFormatting sqref="I61">
    <cfRule type="expression" dxfId="701" priority="10">
      <formula>I61="✓ Correct"</formula>
    </cfRule>
    <cfRule type="expression" dxfId="700" priority="11">
      <formula>I61="À revoir"</formula>
    </cfRule>
    <cfRule type="expression" dxfId="699" priority="12">
      <formula>I61="À faire"</formula>
    </cfRule>
  </conditionalFormatting>
  <conditionalFormatting sqref="I75">
    <cfRule type="expression" dxfId="698" priority="13">
      <formula>I75="✓ Correct"</formula>
    </cfRule>
    <cfRule type="expression" dxfId="697" priority="14">
      <formula>I75="À revoir"</formula>
    </cfRule>
    <cfRule type="expression" dxfId="696" priority="15">
      <formula>I75="À faire"</formula>
    </cfRule>
  </conditionalFormatting>
  <conditionalFormatting sqref="I87">
    <cfRule type="expression" dxfId="695" priority="16">
      <formula>I87="✓ Correct"</formula>
    </cfRule>
    <cfRule type="expression" dxfId="694" priority="17">
      <formula>I87="À revoir"</formula>
    </cfRule>
    <cfRule type="expression" dxfId="693" priority="18">
      <formula>I87="À faire"</formula>
    </cfRule>
  </conditionalFormatting>
  <conditionalFormatting sqref="I100">
    <cfRule type="expression" dxfId="692" priority="19">
      <formula>I100="✓ Correct"</formula>
    </cfRule>
    <cfRule type="expression" dxfId="691" priority="20">
      <formula>I100="À revoir"</formula>
    </cfRule>
    <cfRule type="expression" dxfId="690" priority="21">
      <formula>I100="À faire"</formula>
    </cfRule>
  </conditionalFormatting>
  <conditionalFormatting sqref="I112">
    <cfRule type="expression" dxfId="689" priority="22">
      <formula>I112="✓ Correct"</formula>
    </cfRule>
    <cfRule type="expression" dxfId="688" priority="23">
      <formula>I112="À revoir"</formula>
    </cfRule>
    <cfRule type="expression" dxfId="687" priority="24">
      <formula>I112="À faire"</formula>
    </cfRule>
  </conditionalFormatting>
  <conditionalFormatting sqref="I122">
    <cfRule type="expression" dxfId="686" priority="25">
      <formula>I122="✓ Correct"</formula>
    </cfRule>
    <cfRule type="expression" dxfId="685" priority="26">
      <formula>I122="À revoir"</formula>
    </cfRule>
    <cfRule type="expression" dxfId="684" priority="27">
      <formula>I122="À faire"</formula>
    </cfRule>
  </conditionalFormatting>
  <conditionalFormatting sqref="I134">
    <cfRule type="expression" dxfId="683" priority="28">
      <formula>I134="✓ Correct"</formula>
    </cfRule>
    <cfRule type="expression" dxfId="682" priority="29">
      <formula>I134="À revoir"</formula>
    </cfRule>
    <cfRule type="expression" dxfId="681" priority="30">
      <formula>I134="À faire"</formula>
    </cfRule>
  </conditionalFormatting>
  <conditionalFormatting sqref="I147">
    <cfRule type="expression" dxfId="680" priority="31">
      <formula>I147="✓ Correct"</formula>
    </cfRule>
    <cfRule type="expression" dxfId="679" priority="32">
      <formula>I147="À revoir"</formula>
    </cfRule>
    <cfRule type="expression" dxfId="678" priority="33">
      <formula>I147="À faire"</formula>
    </cfRule>
  </conditionalFormatting>
  <conditionalFormatting sqref="I159">
    <cfRule type="expression" dxfId="677" priority="34">
      <formula>I159="✓ Correct"</formula>
    </cfRule>
    <cfRule type="expression" dxfId="676" priority="35">
      <formula>I159="À revoir"</formula>
    </cfRule>
    <cfRule type="expression" dxfId="675" priority="36">
      <formula>I159="À faire"</formula>
    </cfRule>
  </conditionalFormatting>
  <conditionalFormatting sqref="I174">
    <cfRule type="expression" dxfId="674" priority="37">
      <formula>I174="✓ Correct"</formula>
    </cfRule>
    <cfRule type="expression" dxfId="673" priority="38">
      <formula>I174="À revoir"</formula>
    </cfRule>
    <cfRule type="expression" dxfId="672" priority="39">
      <formula>I174="À faire"</formula>
    </cfRule>
  </conditionalFormatting>
  <dataValidations count="3">
    <dataValidation type="list" sqref="G25" xr:uid="{00000000-0002-0000-0200-000000000000}">
      <formula1>"Oui,Non"</formula1>
    </dataValidation>
    <dataValidation type="list" sqref="B145 F145 D145" xr:uid="{00000000-0002-0000-0200-000001000000}">
      <formula1>"Cellule vide,Zéro,Chaîne vide"</formula1>
    </dataValidation>
    <dataValidation type="list" sqref="B157:F157" xr:uid="{00000000-0002-0000-0200-000002000000}">
      <formula1>"Valeur logique,Date,Texte,Nombre"</formula1>
    </dataValidation>
  </dataValidations>
  <hyperlinks>
    <hyperlink ref="I2" location="SOMMAIRE!A1" display="SOMMAIR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52"/>
  <sheetViews>
    <sheetView showGridLines="0" zoomScale="90" zoomScaleNormal="90" workbookViewId="0"/>
  </sheetViews>
  <sheetFormatPr baseColWidth="10" defaultColWidth="9" defaultRowHeight="14.25"/>
  <cols>
    <col min="1" max="1" width="3" customWidth="1"/>
    <col min="2" max="2" width="49.25" customWidth="1"/>
    <col min="3" max="3" width="62" customWidth="1"/>
    <col min="4" max="4" width="16" customWidth="1"/>
    <col min="5" max="5" width="15.25" customWidth="1"/>
    <col min="6" max="6" width="37.5" customWidth="1"/>
    <col min="7" max="7" width="15.25" customWidth="1"/>
    <col min="8" max="8" width="25.75" customWidth="1"/>
    <col min="9" max="9" width="14.875" customWidth="1"/>
    <col min="10" max="10" width="13" customWidth="1"/>
  </cols>
  <sheetData>
    <row r="1" spans="1:10">
      <c r="A1" s="42"/>
      <c r="B1" s="42"/>
      <c r="C1" s="42"/>
      <c r="D1" s="42"/>
      <c r="E1" s="42"/>
      <c r="F1" s="42"/>
      <c r="G1" s="42"/>
      <c r="H1" s="42"/>
      <c r="I1" s="42"/>
      <c r="J1" s="42"/>
    </row>
    <row r="2" spans="1:10" ht="19.5">
      <c r="A2" s="42"/>
      <c r="B2" s="43" t="s">
        <v>133</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138</v>
      </c>
      <c r="C7" s="46" t="s">
        <v>139</v>
      </c>
    </row>
    <row r="8" spans="1:10" ht="33.950000000000003" customHeight="1">
      <c r="B8" s="47" t="s">
        <v>143</v>
      </c>
      <c r="C8" s="46" t="s">
        <v>144</v>
      </c>
    </row>
    <row r="9" spans="1:10" ht="33.950000000000003" customHeight="1">
      <c r="B9" s="47" t="s">
        <v>149</v>
      </c>
      <c r="C9" s="46" t="s">
        <v>150</v>
      </c>
    </row>
    <row r="10" spans="1:10" ht="33.950000000000003" customHeight="1">
      <c r="B10" s="47" t="s">
        <v>154</v>
      </c>
      <c r="C10" s="46" t="s">
        <v>155</v>
      </c>
    </row>
    <row r="11" spans="1:10" ht="33.950000000000003" customHeight="1">
      <c r="B11" s="47" t="s">
        <v>160</v>
      </c>
      <c r="C11" s="46" t="s">
        <v>161</v>
      </c>
    </row>
    <row r="12" spans="1:10" ht="33.950000000000003" customHeight="1">
      <c r="B12" s="35" t="s">
        <v>165</v>
      </c>
      <c r="C12" s="34" t="s">
        <v>166</v>
      </c>
    </row>
    <row r="16" spans="1:10" ht="15">
      <c r="B16" s="522" t="s">
        <v>989</v>
      </c>
      <c r="C16" s="522"/>
      <c r="D16" s="522"/>
      <c r="E16" s="522"/>
      <c r="F16" s="522"/>
      <c r="G16" s="522"/>
      <c r="H16" s="522"/>
      <c r="I16" s="522"/>
      <c r="J16" s="522"/>
    </row>
    <row r="18" spans="1:10" ht="24" customHeight="1">
      <c r="B18" s="523" t="s">
        <v>138</v>
      </c>
      <c r="C18" s="523"/>
      <c r="D18" s="523"/>
      <c r="E18" s="523"/>
      <c r="F18" s="523"/>
      <c r="G18" s="523"/>
      <c r="H18" s="523"/>
      <c r="I18" s="523"/>
      <c r="J18" s="523"/>
    </row>
    <row r="20" spans="1:10" ht="15">
      <c r="B20" s="524" t="s">
        <v>990</v>
      </c>
      <c r="C20" s="524"/>
      <c r="D20" s="524"/>
      <c r="E20" s="524"/>
      <c r="F20" s="524"/>
      <c r="G20" s="524"/>
      <c r="H20" s="132" t="s">
        <v>901</v>
      </c>
      <c r="I20" s="123" t="s">
        <v>902</v>
      </c>
    </row>
    <row r="21" spans="1:10" ht="21.95" customHeight="1">
      <c r="B21" s="525" t="s">
        <v>991</v>
      </c>
      <c r="C21" s="525"/>
      <c r="D21" s="525"/>
      <c r="E21" s="525"/>
      <c r="F21" s="525"/>
      <c r="G21" s="525"/>
      <c r="H21" s="525"/>
      <c r="I21" s="525"/>
      <c r="J21" s="525"/>
    </row>
    <row r="22" spans="1:10" ht="21.95" customHeight="1">
      <c r="B22" s="525"/>
      <c r="C22" s="525"/>
      <c r="D22" s="525"/>
      <c r="E22" s="525"/>
      <c r="F22" s="525"/>
      <c r="G22" s="525"/>
      <c r="H22" s="525"/>
      <c r="I22" s="525"/>
      <c r="J22" s="525"/>
    </row>
    <row r="24" spans="1:10">
      <c r="B24" s="133" t="s">
        <v>992</v>
      </c>
      <c r="D24" s="133" t="s">
        <v>993</v>
      </c>
      <c r="F24" s="133" t="s">
        <v>994</v>
      </c>
    </row>
    <row r="25" spans="1:10">
      <c r="A25" s="304"/>
      <c r="B25" s="305"/>
      <c r="C25" s="304"/>
      <c r="D25" s="305"/>
      <c r="E25" s="304"/>
      <c r="F25" s="305"/>
    </row>
    <row r="27" spans="1:10">
      <c r="H27" s="201" t="s">
        <v>909</v>
      </c>
      <c r="I27" s="200" t="str">
        <f>IF(COUNTA(B25,D25,F25)=0,"À faire",IF(AND(B25="Additionner",D25="Montants",F25=2),"✓ Correct","À revoir"))</f>
        <v>À faire</v>
      </c>
    </row>
    <row r="30" spans="1:10" ht="15">
      <c r="B30" s="524" t="s">
        <v>995</v>
      </c>
      <c r="C30" s="524"/>
      <c r="D30" s="524"/>
      <c r="E30" s="524"/>
      <c r="F30" s="524"/>
      <c r="G30" s="524"/>
      <c r="H30" s="132" t="s">
        <v>930</v>
      </c>
      <c r="I30" s="123" t="s">
        <v>902</v>
      </c>
    </row>
    <row r="31" spans="1:10" ht="21.95" customHeight="1">
      <c r="B31" s="525" t="s">
        <v>996</v>
      </c>
      <c r="C31" s="525"/>
      <c r="D31" s="525"/>
      <c r="E31" s="525"/>
      <c r="F31" s="525"/>
      <c r="G31" s="525"/>
      <c r="H31" s="525"/>
      <c r="I31" s="525"/>
      <c r="J31" s="525"/>
    </row>
    <row r="32" spans="1:10" ht="21.95" customHeight="1">
      <c r="B32" s="525"/>
      <c r="C32" s="525"/>
      <c r="D32" s="525"/>
      <c r="E32" s="525"/>
      <c r="F32" s="525"/>
      <c r="G32" s="525"/>
      <c r="H32" s="525"/>
      <c r="I32" s="525"/>
      <c r="J32" s="525"/>
    </row>
    <row r="34" spans="1:10">
      <c r="B34" s="133" t="s">
        <v>997</v>
      </c>
      <c r="H34" s="133" t="s">
        <v>998</v>
      </c>
    </row>
    <row r="35" spans="1:10">
      <c r="A35" s="304"/>
      <c r="B35" s="526"/>
      <c r="C35" s="527"/>
      <c r="D35" s="527"/>
      <c r="E35" s="527"/>
      <c r="F35" s="527"/>
      <c r="G35" s="528"/>
      <c r="H35" s="308"/>
    </row>
    <row r="37" spans="1:10">
      <c r="H37" s="201" t="s">
        <v>909</v>
      </c>
      <c r="I37" s="200" t="str">
        <f>IF(COUNTA(B35,H35)=0,"À faire",IF(AND(B35="Je veux calculer le montant total des commandes payées du mois de juillet.",H35=2),"✓ Correct","À revoir"))</f>
        <v>À faire</v>
      </c>
    </row>
    <row r="40" spans="1:10" ht="24" customHeight="1">
      <c r="B40" s="523" t="s">
        <v>143</v>
      </c>
      <c r="C40" s="523"/>
      <c r="D40" s="523"/>
      <c r="E40" s="523"/>
      <c r="F40" s="523"/>
      <c r="G40" s="523"/>
      <c r="H40" s="523"/>
      <c r="I40" s="523"/>
      <c r="J40" s="523"/>
    </row>
    <row r="42" spans="1:10" ht="15">
      <c r="B42" s="524" t="s">
        <v>999</v>
      </c>
      <c r="C42" s="524"/>
      <c r="D42" s="524"/>
      <c r="E42" s="524"/>
      <c r="F42" s="524"/>
      <c r="G42" s="524"/>
      <c r="H42" s="132" t="s">
        <v>901</v>
      </c>
      <c r="I42" s="123" t="s">
        <v>902</v>
      </c>
    </row>
    <row r="43" spans="1:10" ht="21.95" customHeight="1">
      <c r="B43" s="525" t="s">
        <v>1000</v>
      </c>
      <c r="C43" s="525"/>
      <c r="D43" s="525"/>
      <c r="E43" s="525"/>
      <c r="F43" s="525"/>
      <c r="G43" s="525"/>
      <c r="H43" s="525"/>
      <c r="I43" s="525"/>
      <c r="J43" s="525"/>
    </row>
    <row r="44" spans="1:10" ht="21.95" customHeight="1">
      <c r="B44" s="525"/>
      <c r="C44" s="525"/>
      <c r="D44" s="525"/>
      <c r="E44" s="525"/>
      <c r="F44" s="525"/>
      <c r="G44" s="525"/>
      <c r="H44" s="525"/>
      <c r="I44" s="525"/>
      <c r="J44" s="525"/>
    </row>
    <row r="46" spans="1:10" ht="24">
      <c r="B46" s="133" t="s">
        <v>1001</v>
      </c>
      <c r="C46" s="133" t="s">
        <v>1002</v>
      </c>
      <c r="D46" s="133" t="s">
        <v>1003</v>
      </c>
      <c r="E46" s="133" t="s">
        <v>1004</v>
      </c>
      <c r="F46" s="133" t="s">
        <v>1005</v>
      </c>
    </row>
    <row r="47" spans="1:10">
      <c r="A47" s="304"/>
      <c r="B47" s="306"/>
      <c r="C47" s="307"/>
      <c r="D47" s="307"/>
      <c r="E47" s="307"/>
      <c r="F47" s="309"/>
    </row>
    <row r="49" spans="1:10">
      <c r="H49" s="201" t="s">
        <v>909</v>
      </c>
      <c r="I49" s="200" t="str">
        <f>IF(COUNTA(B47:F47)=0,"À faire",IF(AND(B47="Compter",C47="Calculer",D47="Calculer",E47="Compter",F47="Calculer"),"✓ Correct","À revoir"))</f>
        <v>À faire</v>
      </c>
    </row>
    <row r="52" spans="1:10" ht="15">
      <c r="B52" s="524" t="s">
        <v>1006</v>
      </c>
      <c r="C52" s="524"/>
      <c r="D52" s="524"/>
      <c r="E52" s="524"/>
      <c r="F52" s="524"/>
      <c r="G52" s="524"/>
      <c r="H52" s="132" t="s">
        <v>930</v>
      </c>
      <c r="I52" s="123" t="s">
        <v>902</v>
      </c>
    </row>
    <row r="53" spans="1:10" ht="21.95" customHeight="1">
      <c r="B53" s="525" t="s">
        <v>1007</v>
      </c>
      <c r="C53" s="525"/>
      <c r="D53" s="525"/>
      <c r="E53" s="525"/>
      <c r="F53" s="525"/>
      <c r="G53" s="525"/>
      <c r="H53" s="525"/>
      <c r="I53" s="525"/>
      <c r="J53" s="525"/>
    </row>
    <row r="54" spans="1:10" ht="21.95" customHeight="1">
      <c r="B54" s="525"/>
      <c r="C54" s="525"/>
      <c r="D54" s="525"/>
      <c r="E54" s="525"/>
      <c r="F54" s="525"/>
      <c r="G54" s="525"/>
      <c r="H54" s="525"/>
      <c r="I54" s="525"/>
      <c r="J54" s="525"/>
    </row>
    <row r="56" spans="1:10" ht="43.5" customHeight="1">
      <c r="B56" s="133" t="s">
        <v>1008</v>
      </c>
      <c r="C56" s="133" t="s">
        <v>1009</v>
      </c>
      <c r="D56" s="133" t="s">
        <v>1010</v>
      </c>
      <c r="E56" s="133" t="s">
        <v>1011</v>
      </c>
    </row>
    <row r="57" spans="1:10">
      <c r="A57" s="304"/>
      <c r="B57" s="306"/>
      <c r="C57" s="307"/>
      <c r="D57" s="307"/>
      <c r="E57" s="309"/>
    </row>
    <row r="59" spans="1:10">
      <c r="H59" s="201" t="s">
        <v>909</v>
      </c>
      <c r="I59" s="200" t="str">
        <f>IF(COUNTA(B57:E57)=0,"À faire",IF(AND(B57="Additionner",C57="Moyenne",D57="Minimum",E57="Multiplier"),"✓ Correct","À revoir"))</f>
        <v>À faire</v>
      </c>
    </row>
    <row r="62" spans="1:10" ht="24" customHeight="1">
      <c r="B62" s="523" t="s">
        <v>149</v>
      </c>
      <c r="C62" s="523"/>
      <c r="D62" s="523"/>
      <c r="E62" s="523"/>
      <c r="F62" s="523"/>
      <c r="G62" s="523"/>
      <c r="H62" s="523"/>
      <c r="I62" s="523"/>
      <c r="J62" s="523"/>
    </row>
    <row r="64" spans="1:10" ht="15">
      <c r="B64" s="524" t="s">
        <v>1012</v>
      </c>
      <c r="C64" s="524"/>
      <c r="D64" s="524"/>
      <c r="E64" s="524"/>
      <c r="F64" s="524"/>
      <c r="G64" s="524"/>
      <c r="H64" s="132" t="s">
        <v>901</v>
      </c>
      <c r="I64" s="123" t="s">
        <v>902</v>
      </c>
    </row>
    <row r="65" spans="1:10" ht="21.95" customHeight="1">
      <c r="B65" s="525" t="s">
        <v>1013</v>
      </c>
      <c r="C65" s="525"/>
      <c r="D65" s="525"/>
      <c r="E65" s="525"/>
      <c r="F65" s="525"/>
      <c r="G65" s="525"/>
      <c r="H65" s="525"/>
      <c r="I65" s="525"/>
      <c r="J65" s="525"/>
    </row>
    <row r="66" spans="1:10" ht="21.95" customHeight="1">
      <c r="B66" s="525"/>
      <c r="C66" s="525"/>
      <c r="D66" s="525"/>
      <c r="E66" s="525"/>
      <c r="F66" s="525"/>
      <c r="G66" s="525"/>
      <c r="H66" s="525"/>
      <c r="I66" s="525"/>
      <c r="J66" s="525"/>
    </row>
    <row r="68" spans="1:10" ht="36.75" customHeight="1">
      <c r="B68" s="133" t="s">
        <v>1014</v>
      </c>
      <c r="C68" s="133" t="s">
        <v>1015</v>
      </c>
      <c r="D68" s="133" t="s">
        <v>1016</v>
      </c>
      <c r="E68" s="133" t="s">
        <v>1017</v>
      </c>
      <c r="F68" s="133" t="s">
        <v>1018</v>
      </c>
    </row>
    <row r="69" spans="1:10">
      <c r="A69" s="304"/>
      <c r="B69" s="306"/>
      <c r="C69" s="307"/>
      <c r="D69" s="307"/>
      <c r="E69" s="307"/>
      <c r="F69" s="309"/>
    </row>
    <row r="71" spans="1:10">
      <c r="H71" s="201" t="s">
        <v>909</v>
      </c>
      <c r="I71" s="200" t="str">
        <f>IF(COUNTA(B69:F69)=0,"À faire",IF(AND(B69="Avec critère",C69="Avec critère",D69="Sans critère",E69="Sans critère",F69="Sans critère"),"✓ Correct","À revoir"))</f>
        <v>À faire</v>
      </c>
    </row>
    <row r="74" spans="1:10" ht="15">
      <c r="B74" s="524" t="s">
        <v>1019</v>
      </c>
      <c r="C74" s="524"/>
      <c r="D74" s="524"/>
      <c r="E74" s="524"/>
      <c r="F74" s="524"/>
      <c r="G74" s="524"/>
      <c r="H74" s="132" t="s">
        <v>930</v>
      </c>
      <c r="I74" s="123" t="s">
        <v>902</v>
      </c>
    </row>
    <row r="75" spans="1:10" ht="21.95" customHeight="1">
      <c r="B75" s="525" t="s">
        <v>1020</v>
      </c>
      <c r="C75" s="525"/>
      <c r="D75" s="525"/>
      <c r="E75" s="525"/>
      <c r="F75" s="525"/>
      <c r="G75" s="525"/>
      <c r="H75" s="525"/>
      <c r="I75" s="525"/>
      <c r="J75" s="525"/>
    </row>
    <row r="76" spans="1:10" ht="21.95" customHeight="1">
      <c r="B76" s="525"/>
      <c r="C76" s="525"/>
      <c r="D76" s="525"/>
      <c r="E76" s="525"/>
      <c r="F76" s="525"/>
      <c r="G76" s="525"/>
      <c r="H76" s="525"/>
      <c r="I76" s="525"/>
      <c r="J76" s="525"/>
    </row>
    <row r="78" spans="1:10" ht="46.5" customHeight="1">
      <c r="B78" s="133" t="s">
        <v>1021</v>
      </c>
      <c r="C78" s="133" t="s">
        <v>1022</v>
      </c>
      <c r="D78" s="133" t="s">
        <v>1023</v>
      </c>
      <c r="E78" s="133" t="s">
        <v>1024</v>
      </c>
    </row>
    <row r="79" spans="1:10">
      <c r="A79" s="304"/>
      <c r="B79" s="306"/>
      <c r="C79" s="307"/>
      <c r="D79" s="307"/>
      <c r="E79" s="309"/>
    </row>
    <row r="81" spans="1:10">
      <c r="H81" s="201" t="s">
        <v>909</v>
      </c>
      <c r="I81" s="200" t="str">
        <f>IF(COUNTA(B79:E79)=0,"À faire",IF(AND(B79=1,C79=2,D79=2,E79=0),"✓ Correct","À revoir"))</f>
        <v>À faire</v>
      </c>
    </row>
    <row r="84" spans="1:10" ht="24" customHeight="1">
      <c r="B84" s="523" t="s">
        <v>154</v>
      </c>
      <c r="C84" s="523"/>
      <c r="D84" s="523"/>
      <c r="E84" s="523"/>
      <c r="F84" s="523"/>
      <c r="G84" s="523"/>
      <c r="H84" s="523"/>
      <c r="I84" s="523"/>
      <c r="J84" s="523"/>
    </row>
    <row r="86" spans="1:10" ht="15">
      <c r="B86" s="524" t="s">
        <v>1025</v>
      </c>
      <c r="C86" s="524"/>
      <c r="D86" s="524"/>
      <c r="E86" s="524"/>
      <c r="F86" s="524"/>
      <c r="G86" s="524"/>
      <c r="H86" s="132" t="s">
        <v>930</v>
      </c>
      <c r="I86" s="123" t="s">
        <v>902</v>
      </c>
    </row>
    <row r="87" spans="1:10" ht="21.95" customHeight="1">
      <c r="B87" s="525" t="s">
        <v>1026</v>
      </c>
      <c r="C87" s="525"/>
      <c r="D87" s="525"/>
      <c r="E87" s="525"/>
      <c r="F87" s="525"/>
      <c r="G87" s="525"/>
      <c r="H87" s="525"/>
      <c r="I87" s="525"/>
      <c r="J87" s="525"/>
    </row>
    <row r="88" spans="1:10" ht="21.95" customHeight="1">
      <c r="B88" s="525"/>
      <c r="C88" s="525"/>
      <c r="D88" s="525"/>
      <c r="E88" s="525"/>
      <c r="F88" s="525"/>
      <c r="G88" s="525"/>
      <c r="H88" s="525"/>
      <c r="I88" s="525"/>
      <c r="J88" s="525"/>
    </row>
    <row r="90" spans="1:10" ht="36">
      <c r="B90" s="133" t="s">
        <v>1027</v>
      </c>
      <c r="C90" s="133" t="s">
        <v>1028</v>
      </c>
      <c r="D90" s="133" t="s">
        <v>1029</v>
      </c>
      <c r="E90" s="133" t="s">
        <v>1030</v>
      </c>
      <c r="F90" s="133" t="s">
        <v>1031</v>
      </c>
      <c r="G90" s="133" t="s">
        <v>1032</v>
      </c>
    </row>
    <row r="91" spans="1:10">
      <c r="A91" s="304"/>
      <c r="B91" s="306"/>
      <c r="C91" s="307"/>
      <c r="D91" s="307"/>
      <c r="E91" s="307"/>
      <c r="F91" s="307"/>
      <c r="G91" s="309"/>
    </row>
    <row r="93" spans="1:10">
      <c r="H93" s="201" t="s">
        <v>909</v>
      </c>
      <c r="I93" s="200" t="str">
        <f>IF(COUNTA(B91:G91)=0,"À faire",IF(AND(B91="Calcul",C91="Comptage",D91="Condition",E91="Recherche",F91="Texte",G91="Résultat dynamique"),"✓ Correct","À revoir"))</f>
        <v>À faire</v>
      </c>
    </row>
    <row r="96" spans="1:10" ht="15">
      <c r="B96" s="524" t="s">
        <v>1033</v>
      </c>
      <c r="C96" s="524"/>
      <c r="D96" s="524"/>
      <c r="E96" s="524"/>
      <c r="F96" s="524"/>
      <c r="G96" s="524"/>
      <c r="H96" s="132" t="s">
        <v>930</v>
      </c>
      <c r="I96" s="123" t="s">
        <v>902</v>
      </c>
    </row>
    <row r="97" spans="2:10" ht="21.95" customHeight="1">
      <c r="B97" s="525" t="s">
        <v>1034</v>
      </c>
      <c r="C97" s="525"/>
      <c r="D97" s="525"/>
      <c r="E97" s="525"/>
      <c r="F97" s="525"/>
      <c r="G97" s="525"/>
      <c r="H97" s="525"/>
      <c r="I97" s="525"/>
      <c r="J97" s="525"/>
    </row>
    <row r="98" spans="2:10" ht="21.95" customHeight="1">
      <c r="B98" s="525"/>
      <c r="C98" s="525"/>
      <c r="D98" s="525"/>
      <c r="E98" s="525"/>
      <c r="F98" s="525"/>
      <c r="G98" s="525"/>
      <c r="H98" s="525"/>
      <c r="I98" s="525"/>
      <c r="J98" s="525"/>
    </row>
    <row r="100" spans="2:10">
      <c r="B100" s="134" t="s">
        <v>1035</v>
      </c>
      <c r="C100" s="134" t="s">
        <v>992</v>
      </c>
      <c r="D100" s="134" t="s">
        <v>1036</v>
      </c>
    </row>
    <row r="101" spans="2:10">
      <c r="B101" s="303" t="s">
        <v>1037</v>
      </c>
      <c r="C101" s="306"/>
      <c r="D101" s="309"/>
    </row>
    <row r="102" spans="2:10">
      <c r="B102" s="303" t="s">
        <v>1038</v>
      </c>
      <c r="C102" s="306"/>
      <c r="D102" s="309"/>
    </row>
    <row r="103" spans="2:10">
      <c r="B103" s="303" t="s">
        <v>1039</v>
      </c>
      <c r="C103" s="306"/>
      <c r="D103" s="309"/>
    </row>
    <row r="105" spans="2:10">
      <c r="H105" s="201" t="s">
        <v>909</v>
      </c>
      <c r="I105" s="200" t="str">
        <f>IF(COUNTA(C101:D103)=0,"À faire",IF(AND(C101="Rechercher",D101="Recherche",C102="Tester",D102="Condition",C103="Nettoyer",D103="Texte"),"✓ Correct","À revoir"))</f>
        <v>À faire</v>
      </c>
    </row>
    <row r="108" spans="2:10" ht="24" customHeight="1">
      <c r="B108" s="523" t="s">
        <v>160</v>
      </c>
      <c r="C108" s="523"/>
      <c r="D108" s="523"/>
      <c r="E108" s="523"/>
      <c r="F108" s="523"/>
      <c r="G108" s="523"/>
      <c r="H108" s="523"/>
      <c r="I108" s="523"/>
      <c r="J108" s="523"/>
    </row>
    <row r="110" spans="2:10" ht="15">
      <c r="B110" s="524" t="s">
        <v>1040</v>
      </c>
      <c r="C110" s="524"/>
      <c r="D110" s="524"/>
      <c r="E110" s="524"/>
      <c r="F110" s="524"/>
      <c r="G110" s="524"/>
      <c r="H110" s="132" t="s">
        <v>930</v>
      </c>
      <c r="I110" s="123" t="s">
        <v>902</v>
      </c>
    </row>
    <row r="111" spans="2:10" ht="21.95" customHeight="1">
      <c r="B111" s="525" t="s">
        <v>1041</v>
      </c>
      <c r="C111" s="525"/>
      <c r="D111" s="525"/>
      <c r="E111" s="525"/>
      <c r="F111" s="525"/>
      <c r="G111" s="525"/>
      <c r="H111" s="525"/>
      <c r="I111" s="525"/>
      <c r="J111" s="525"/>
    </row>
    <row r="112" spans="2:10" ht="21.95" customHeight="1">
      <c r="B112" s="525"/>
      <c r="C112" s="525"/>
      <c r="D112" s="525"/>
      <c r="E112" s="525"/>
      <c r="F112" s="525"/>
      <c r="G112" s="525"/>
      <c r="H112" s="525"/>
      <c r="I112" s="525"/>
      <c r="J112" s="525"/>
    </row>
    <row r="114" spans="2:10">
      <c r="B114" s="133" t="s">
        <v>1042</v>
      </c>
      <c r="D114" s="133" t="s">
        <v>1043</v>
      </c>
      <c r="F114" s="133" t="s">
        <v>1044</v>
      </c>
      <c r="H114" s="133" t="s">
        <v>1045</v>
      </c>
    </row>
    <row r="115" spans="2:10" ht="15">
      <c r="B115" s="159" t="s">
        <v>1046</v>
      </c>
      <c r="D115" s="300" t="s">
        <v>1047</v>
      </c>
      <c r="E115" s="304"/>
      <c r="F115" s="305"/>
      <c r="G115" s="304"/>
      <c r="H115" s="305"/>
    </row>
    <row r="117" spans="2:10">
      <c r="H117" s="201" t="s">
        <v>909</v>
      </c>
      <c r="I117" s="200" t="str">
        <f>IF(COUNTA(F115,H115)=0,"À faire",IF(AND(F115="B",H115="Elle est plus facile à étendre"),"✓ Correct","À revoir"))</f>
        <v>À faire</v>
      </c>
    </row>
    <row r="120" spans="2:10" ht="15">
      <c r="B120" s="524" t="s">
        <v>1048</v>
      </c>
      <c r="C120" s="524"/>
      <c r="D120" s="524"/>
      <c r="E120" s="524"/>
      <c r="F120" s="524"/>
      <c r="G120" s="524"/>
      <c r="H120" s="132" t="s">
        <v>930</v>
      </c>
      <c r="I120" s="123" t="s">
        <v>902</v>
      </c>
    </row>
    <row r="121" spans="2:10" ht="21.95" customHeight="1">
      <c r="B121" s="525" t="s">
        <v>1049</v>
      </c>
      <c r="C121" s="525"/>
      <c r="D121" s="525"/>
      <c r="E121" s="525"/>
      <c r="F121" s="525"/>
      <c r="G121" s="525"/>
      <c r="H121" s="525"/>
      <c r="I121" s="525"/>
      <c r="J121" s="525"/>
    </row>
    <row r="122" spans="2:10" ht="21.95" customHeight="1">
      <c r="B122" s="525"/>
      <c r="C122" s="525"/>
      <c r="D122" s="525"/>
      <c r="E122" s="525"/>
      <c r="F122" s="525"/>
      <c r="G122" s="525"/>
      <c r="H122" s="525"/>
      <c r="I122" s="525"/>
      <c r="J122" s="525"/>
    </row>
    <row r="124" spans="2:10">
      <c r="B124" s="133" t="s">
        <v>920</v>
      </c>
      <c r="D124" s="133" t="s">
        <v>922</v>
      </c>
      <c r="F124" s="133" t="s">
        <v>1050</v>
      </c>
      <c r="H124" s="133" t="s">
        <v>1051</v>
      </c>
    </row>
    <row r="125" spans="2:10" ht="15">
      <c r="B125" s="301" t="s">
        <v>1052</v>
      </c>
      <c r="D125" s="300" t="s">
        <v>1053</v>
      </c>
      <c r="E125" s="304"/>
      <c r="F125" s="305"/>
      <c r="G125" s="304"/>
      <c r="H125" s="305"/>
    </row>
    <row r="127" spans="2:10">
      <c r="H127" s="201" t="s">
        <v>909</v>
      </c>
      <c r="I127" s="200" t="str">
        <f>IF(COUNTA(F125,H125)=0,"À faire",IF(AND(F125="Les deux peuvent être correctes selon le contexte",H125="Lisibilité, évolution et compatibilité"),"✓ Correct","À revoir"))</f>
        <v>À faire</v>
      </c>
    </row>
    <row r="130" spans="1:10" ht="24" customHeight="1">
      <c r="B130" s="523" t="s">
        <v>165</v>
      </c>
      <c r="C130" s="523"/>
      <c r="D130" s="523"/>
      <c r="E130" s="523"/>
      <c r="F130" s="523"/>
      <c r="G130" s="523"/>
      <c r="H130" s="523"/>
      <c r="I130" s="523"/>
      <c r="J130" s="523"/>
    </row>
    <row r="132" spans="1:10" ht="15">
      <c r="B132" s="524" t="s">
        <v>1054</v>
      </c>
      <c r="C132" s="524"/>
      <c r="D132" s="524"/>
      <c r="E132" s="524"/>
      <c r="F132" s="524"/>
      <c r="G132" s="524"/>
      <c r="H132" s="132" t="s">
        <v>930</v>
      </c>
      <c r="I132" s="123" t="s">
        <v>902</v>
      </c>
    </row>
    <row r="133" spans="1:10" ht="21.95" customHeight="1">
      <c r="B133" s="525" t="s">
        <v>1055</v>
      </c>
      <c r="C133" s="525"/>
      <c r="D133" s="525"/>
      <c r="E133" s="525"/>
      <c r="F133" s="525"/>
      <c r="G133" s="525"/>
      <c r="H133" s="525"/>
      <c r="I133" s="525"/>
      <c r="J133" s="525"/>
    </row>
    <row r="134" spans="1:10" ht="21.95" customHeight="1">
      <c r="B134" s="525"/>
      <c r="C134" s="525"/>
      <c r="D134" s="525"/>
      <c r="E134" s="525"/>
      <c r="F134" s="525"/>
      <c r="G134" s="525"/>
      <c r="H134" s="525"/>
      <c r="I134" s="525"/>
      <c r="J134" s="525"/>
    </row>
    <row r="136" spans="1:10" ht="24">
      <c r="B136" s="133" t="s">
        <v>1036</v>
      </c>
      <c r="C136" s="133" t="s">
        <v>1056</v>
      </c>
      <c r="D136" s="133" t="s">
        <v>1057</v>
      </c>
      <c r="E136" s="133" t="s">
        <v>1058</v>
      </c>
      <c r="F136" s="133" t="s">
        <v>1059</v>
      </c>
    </row>
    <row r="137" spans="1:10">
      <c r="A137" s="304"/>
      <c r="B137" s="306"/>
      <c r="C137" s="307"/>
      <c r="D137" s="307"/>
      <c r="E137" s="307"/>
      <c r="F137" s="309"/>
    </row>
    <row r="139" spans="1:10">
      <c r="H139" s="201" t="s">
        <v>909</v>
      </c>
      <c r="I139" s="200" t="str">
        <f>IF(COUNTA(B137:F137)=0,"À faire",IF(AND(B137="Recherche",C137="Code produit",D137="Prix",E137="Exacte",F137="Afficher « Code inconnu »"),"✓ Correct","À revoir"))</f>
        <v>À faire</v>
      </c>
    </row>
    <row r="142" spans="1:10" ht="15">
      <c r="B142" s="524" t="s">
        <v>1060</v>
      </c>
      <c r="C142" s="524"/>
      <c r="D142" s="524"/>
      <c r="E142" s="524"/>
      <c r="F142" s="524"/>
      <c r="G142" s="524"/>
      <c r="H142" s="132" t="s">
        <v>947</v>
      </c>
      <c r="I142" s="123" t="s">
        <v>902</v>
      </c>
    </row>
    <row r="143" spans="1:10" ht="21.95" customHeight="1">
      <c r="B143" s="525" t="s">
        <v>1061</v>
      </c>
      <c r="C143" s="525"/>
      <c r="D143" s="525"/>
      <c r="E143" s="525"/>
      <c r="F143" s="525"/>
      <c r="G143" s="525"/>
      <c r="H143" s="525"/>
      <c r="I143" s="525"/>
      <c r="J143" s="525"/>
    </row>
    <row r="144" spans="1:10" ht="21.95" customHeight="1">
      <c r="B144" s="525"/>
      <c r="C144" s="525"/>
      <c r="D144" s="525"/>
      <c r="E144" s="525"/>
      <c r="F144" s="525"/>
      <c r="G144" s="525"/>
      <c r="H144" s="525"/>
      <c r="I144" s="525"/>
      <c r="J144" s="525"/>
    </row>
    <row r="146" spans="2:9">
      <c r="B146" s="134" t="s">
        <v>1035</v>
      </c>
      <c r="C146" s="134" t="s">
        <v>1036</v>
      </c>
      <c r="D146" s="134" t="s">
        <v>998</v>
      </c>
    </row>
    <row r="147" spans="2:9">
      <c r="B147" s="303" t="s">
        <v>1022</v>
      </c>
      <c r="C147" s="306"/>
      <c r="D147" s="309"/>
    </row>
    <row r="148" spans="2:9">
      <c r="B148" s="303" t="s">
        <v>1062</v>
      </c>
      <c r="C148" s="306"/>
      <c r="D148" s="309"/>
    </row>
    <row r="149" spans="2:9">
      <c r="B149" s="303" t="s">
        <v>1063</v>
      </c>
      <c r="C149" s="306"/>
      <c r="D149" s="309"/>
    </row>
    <row r="150" spans="2:9">
      <c r="B150" s="303" t="s">
        <v>1064</v>
      </c>
      <c r="C150" s="306"/>
      <c r="D150" s="309"/>
    </row>
    <row r="152" spans="2:9">
      <c r="H152" s="201" t="s">
        <v>909</v>
      </c>
      <c r="I152" s="200" t="str">
        <f>IF(COUNTA(C147:D150)=0,"À faire",IF(AND(C147="Comptage",D147=2,C148="Condition",D148=1,C149="Texte",D149=0,C150="Résultat dynamique",D150=0),"✓ Correct","À revoir"))</f>
        <v>À faire</v>
      </c>
    </row>
  </sheetData>
  <sheetProtection sheet="1" objects="1" scenarios="1" autoFilter="0"/>
  <mergeCells count="32">
    <mergeCell ref="B142:G142"/>
    <mergeCell ref="B143:J144"/>
    <mergeCell ref="B120:G120"/>
    <mergeCell ref="B121:J122"/>
    <mergeCell ref="B130:J130"/>
    <mergeCell ref="B132:G132"/>
    <mergeCell ref="B133:J134"/>
    <mergeCell ref="B96:G96"/>
    <mergeCell ref="B97:J98"/>
    <mergeCell ref="B108:J108"/>
    <mergeCell ref="B110:G110"/>
    <mergeCell ref="B111:J112"/>
    <mergeCell ref="B74:G74"/>
    <mergeCell ref="B75:J76"/>
    <mergeCell ref="B84:J84"/>
    <mergeCell ref="B86:G86"/>
    <mergeCell ref="B87:J88"/>
    <mergeCell ref="B52:G52"/>
    <mergeCell ref="B53:J54"/>
    <mergeCell ref="B62:J62"/>
    <mergeCell ref="B64:G64"/>
    <mergeCell ref="B65:J66"/>
    <mergeCell ref="B31:J32"/>
    <mergeCell ref="B35:G35"/>
    <mergeCell ref="B40:J40"/>
    <mergeCell ref="B42:G42"/>
    <mergeCell ref="B43:J44"/>
    <mergeCell ref="B16:J16"/>
    <mergeCell ref="B18:J18"/>
    <mergeCell ref="B20:G20"/>
    <mergeCell ref="B21:J22"/>
    <mergeCell ref="B30:G30"/>
  </mergeCells>
  <conditionalFormatting sqref="I27">
    <cfRule type="expression" dxfId="671" priority="1">
      <formula>I27="✓ Correct"</formula>
    </cfRule>
    <cfRule type="expression" dxfId="670" priority="2">
      <formula>I27="À revoir"</formula>
    </cfRule>
    <cfRule type="expression" dxfId="669" priority="3">
      <formula>I27="À faire"</formula>
    </cfRule>
  </conditionalFormatting>
  <conditionalFormatting sqref="I37">
    <cfRule type="expression" dxfId="668" priority="4">
      <formula>I37="✓ Correct"</formula>
    </cfRule>
    <cfRule type="expression" dxfId="667" priority="5">
      <formula>I37="À revoir"</formula>
    </cfRule>
    <cfRule type="expression" dxfId="666" priority="6">
      <formula>I37="À faire"</formula>
    </cfRule>
  </conditionalFormatting>
  <conditionalFormatting sqref="I49">
    <cfRule type="expression" dxfId="665" priority="7">
      <formula>I49="✓ Correct"</formula>
    </cfRule>
    <cfRule type="expression" dxfId="664" priority="8">
      <formula>I49="À revoir"</formula>
    </cfRule>
    <cfRule type="expression" dxfId="663" priority="9">
      <formula>I49="À faire"</formula>
    </cfRule>
  </conditionalFormatting>
  <conditionalFormatting sqref="I59">
    <cfRule type="expression" dxfId="662" priority="10">
      <formula>I59="✓ Correct"</formula>
    </cfRule>
    <cfRule type="expression" dxfId="661" priority="11">
      <formula>I59="À revoir"</formula>
    </cfRule>
    <cfRule type="expression" dxfId="660" priority="12">
      <formula>I59="À faire"</formula>
    </cfRule>
  </conditionalFormatting>
  <conditionalFormatting sqref="I71">
    <cfRule type="expression" dxfId="659" priority="13">
      <formula>I71="✓ Correct"</formula>
    </cfRule>
    <cfRule type="expression" dxfId="658" priority="14">
      <formula>I71="À revoir"</formula>
    </cfRule>
    <cfRule type="expression" dxfId="657" priority="15">
      <formula>I71="À faire"</formula>
    </cfRule>
  </conditionalFormatting>
  <conditionalFormatting sqref="I81">
    <cfRule type="expression" dxfId="656" priority="16">
      <formula>I81="✓ Correct"</formula>
    </cfRule>
    <cfRule type="expression" dxfId="655" priority="17">
      <formula>I81="À revoir"</formula>
    </cfRule>
    <cfRule type="expression" dxfId="654" priority="18">
      <formula>I81="À faire"</formula>
    </cfRule>
  </conditionalFormatting>
  <conditionalFormatting sqref="I93">
    <cfRule type="expression" dxfId="653" priority="19">
      <formula>I93="✓ Correct"</formula>
    </cfRule>
    <cfRule type="expression" dxfId="652" priority="20">
      <formula>I93="À revoir"</formula>
    </cfRule>
    <cfRule type="expression" dxfId="651" priority="21">
      <formula>I93="À faire"</formula>
    </cfRule>
  </conditionalFormatting>
  <conditionalFormatting sqref="I105">
    <cfRule type="expression" dxfId="650" priority="22">
      <formula>I105="✓ Correct"</formula>
    </cfRule>
    <cfRule type="expression" dxfId="649" priority="23">
      <formula>I105="À revoir"</formula>
    </cfRule>
    <cfRule type="expression" dxfId="648" priority="24">
      <formula>I105="À faire"</formula>
    </cfRule>
  </conditionalFormatting>
  <conditionalFormatting sqref="I117">
    <cfRule type="expression" dxfId="647" priority="25">
      <formula>I117="✓ Correct"</formula>
    </cfRule>
    <cfRule type="expression" dxfId="646" priority="26">
      <formula>I117="À revoir"</formula>
    </cfRule>
    <cfRule type="expression" dxfId="645" priority="27">
      <formula>I117="À faire"</formula>
    </cfRule>
  </conditionalFormatting>
  <conditionalFormatting sqref="I127">
    <cfRule type="expression" dxfId="644" priority="28">
      <formula>I127="✓ Correct"</formula>
    </cfRule>
    <cfRule type="expression" dxfId="643" priority="29">
      <formula>I127="À revoir"</formula>
    </cfRule>
    <cfRule type="expression" dxfId="642" priority="30">
      <formula>I127="À faire"</formula>
    </cfRule>
  </conditionalFormatting>
  <conditionalFormatting sqref="I139">
    <cfRule type="expression" dxfId="641" priority="31">
      <formula>I139="✓ Correct"</formula>
    </cfRule>
    <cfRule type="expression" dxfId="640" priority="32">
      <formula>I139="À revoir"</formula>
    </cfRule>
    <cfRule type="expression" dxfId="639" priority="33">
      <formula>I139="À faire"</formula>
    </cfRule>
  </conditionalFormatting>
  <conditionalFormatting sqref="I152">
    <cfRule type="expression" dxfId="638" priority="34">
      <formula>I152="✓ Correct"</formula>
    </cfRule>
    <cfRule type="expression" dxfId="637" priority="35">
      <formula>I152="À revoir"</formula>
    </cfRule>
    <cfRule type="expression" dxfId="636" priority="36">
      <formula>I152="À faire"</formula>
    </cfRule>
  </conditionalFormatting>
  <dataValidations count="19">
    <dataValidation type="list" sqref="B25" xr:uid="{00000000-0002-0000-0300-000000000000}">
      <formula1>"Additionner,Compter,Rechercher,Tester"</formula1>
    </dataValidation>
    <dataValidation type="list" sqref="D25" xr:uid="{00000000-0002-0000-0300-000001000000}">
      <formula1>"Clients,Dates,Montants,Statuts"</formula1>
    </dataValidation>
    <dataValidation type="list" sqref="F25 D147:D150 B79:E79 H35" xr:uid="{00000000-0002-0000-0300-000002000000}">
      <formula1>"0,1,2,3"</formula1>
    </dataValidation>
    <dataValidation type="list" sqref="B35" xr:uid="{00000000-0002-0000-0300-000003000000}">
      <formula1>"Je veux calculer le montant total des commandes payées du mois de juillet.,Je veux faire une formule pratique avec les commandes.,Je veux regarder les commandes.,Je veux utiliser les données du tableau de commandes."</formula1>
    </dataValidation>
    <dataValidation type="list" sqref="B47:F47" xr:uid="{00000000-0002-0000-0300-000004000000}">
      <formula1>"Calculer,Compter"</formula1>
    </dataValidation>
    <dataValidation type="list" sqref="B57:E57" xr:uid="{00000000-0002-0000-0300-000005000000}">
      <formula1>"Additionner,Maximum,Minimum,Moyenne,Multiplier"</formula1>
    </dataValidation>
    <dataValidation type="list" sqref="B69:F69" xr:uid="{00000000-0002-0000-0300-000006000000}">
      <formula1>"Avec critère,Sans critère"</formula1>
    </dataValidation>
    <dataValidation type="list" sqref="C147:C150 B91:G91" xr:uid="{00000000-0002-0000-0300-000007000000}">
      <formula1>"Calcul,Comptage,Condition,Recherche,Résultat dynamique,Texte"</formula1>
    </dataValidation>
    <dataValidation type="list" sqref="C101:C103" xr:uid="{00000000-0002-0000-0300-000008000000}">
      <formula1>"Compter,Nettoyer,Rechercher,Tester"</formula1>
    </dataValidation>
    <dataValidation type="list" sqref="D101:D103" xr:uid="{00000000-0002-0000-0300-000009000000}">
      <formula1>"Comptage,Condition,Recherche,Texte"</formula1>
    </dataValidation>
    <dataValidation type="list" sqref="F115" xr:uid="{00000000-0002-0000-0300-00000A000000}">
      <formula1>"A,B"</formula1>
    </dataValidation>
    <dataValidation type="list" sqref="H115" xr:uid="{00000000-0002-0000-0300-00000B000000}">
      <formula1>"Elle est plus impressionnante,Elle est plus facile à étendre,Elle contient plus de signes,Elle évite toute fonction"</formula1>
    </dataValidation>
    <dataValidation type="list" sqref="F125" xr:uid="{00000000-0002-0000-0300-00000C000000}">
      <formula1>"Une seule des deux peut être correcte,Les deux peuvent être correctes selon le contexte,La formule la plus longue est toujours meilleure"</formula1>
    </dataValidation>
    <dataValidation type="list" sqref="H125" xr:uid="{00000000-0002-0000-0300-00000D000000}"/>
    <dataValidation type="list" sqref="B137" xr:uid="{00000000-0002-0000-0300-00000E000000}">
      <formula1>"Texte,Recherche,Calcul,Condition"</formula1>
    </dataValidation>
    <dataValidation type="list" sqref="C137" xr:uid="{00000000-0002-0000-0300-00000F000000}">
      <formula1>"Prix,Nom du vendeur,Code produit,Quantité"</formula1>
    </dataValidation>
    <dataValidation type="list" sqref="D137" xr:uid="{00000000-0002-0000-0300-000010000000}">
      <formula1>"Code produit,Prix,Date,Statut"</formula1>
    </dataValidation>
    <dataValidation type="list" sqref="E137" xr:uid="{00000000-0002-0000-0300-000011000000}">
      <formula1>"Approximative,Avec caractères génériques,Exacte"</formula1>
    </dataValidation>
    <dataValidation type="list" sqref="F137" xr:uid="{00000000-0002-0000-0300-000012000000}">
      <formula1>"Afficher une erreur brute,Afficher « Code inconnu »,Renvoyer toujours 0"</formula1>
    </dataValidation>
  </dataValidations>
  <hyperlinks>
    <hyperlink ref="I2" location="SOMMAIRE!A1" display="SOMMAIR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1"/>
  <sheetViews>
    <sheetView showGridLines="0" workbookViewId="0">
      <selection activeCell="I2" sqref="I2"/>
    </sheetView>
  </sheetViews>
  <sheetFormatPr baseColWidth="10" defaultColWidth="9" defaultRowHeight="14.25"/>
  <cols>
    <col min="1" max="1" width="3" customWidth="1"/>
    <col min="2" max="2" width="41" customWidth="1"/>
    <col min="3" max="3" width="22" customWidth="1"/>
    <col min="4" max="8" width="20" customWidth="1"/>
    <col min="9" max="9" width="16" customWidth="1"/>
    <col min="10" max="10" width="13" customWidth="1"/>
  </cols>
  <sheetData>
    <row r="1" spans="1:10">
      <c r="A1" s="42"/>
      <c r="B1" s="42"/>
      <c r="C1" s="42"/>
      <c r="D1" s="42"/>
      <c r="E1" s="42"/>
      <c r="F1" s="42"/>
      <c r="G1" s="42"/>
      <c r="H1" s="42"/>
      <c r="I1" s="42"/>
      <c r="J1" s="42"/>
    </row>
    <row r="2" spans="1:10" ht="19.5">
      <c r="A2" s="42"/>
      <c r="B2" s="43" t="s">
        <v>174</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1065</v>
      </c>
      <c r="C7" s="46" t="s">
        <v>1066</v>
      </c>
    </row>
    <row r="8" spans="1:10" ht="33.950000000000003" customHeight="1">
      <c r="B8" s="47" t="s">
        <v>1067</v>
      </c>
      <c r="C8" s="46" t="s">
        <v>1068</v>
      </c>
    </row>
    <row r="9" spans="1:10" ht="33.950000000000003" customHeight="1">
      <c r="B9" s="47" t="s">
        <v>1069</v>
      </c>
      <c r="C9" s="46" t="s">
        <v>1070</v>
      </c>
    </row>
    <row r="10" spans="1:10" ht="33.950000000000003" customHeight="1">
      <c r="B10" s="47" t="s">
        <v>1071</v>
      </c>
      <c r="C10" s="46" t="s">
        <v>1072</v>
      </c>
    </row>
    <row r="11" spans="1:10" ht="33.950000000000003" customHeight="1">
      <c r="B11" s="47" t="s">
        <v>1073</v>
      </c>
      <c r="C11" s="46" t="s">
        <v>1074</v>
      </c>
    </row>
    <row r="12" spans="1:10" ht="33.950000000000003" customHeight="1">
      <c r="B12" s="47" t="s">
        <v>259</v>
      </c>
      <c r="C12" s="46" t="s">
        <v>260</v>
      </c>
    </row>
    <row r="13" spans="1:10" ht="33.950000000000003" customHeight="1">
      <c r="B13" s="47" t="s">
        <v>264</v>
      </c>
      <c r="C13" s="46" t="s">
        <v>265</v>
      </c>
    </row>
    <row r="14" spans="1:10" ht="33.950000000000003" customHeight="1">
      <c r="B14" s="47" t="s">
        <v>270</v>
      </c>
      <c r="C14" s="46" t="s">
        <v>271</v>
      </c>
    </row>
    <row r="15" spans="1:10" ht="33.950000000000003" customHeight="1">
      <c r="B15" s="47"/>
      <c r="C15" s="46"/>
    </row>
    <row r="16" spans="1:10" ht="33.950000000000003" customHeight="1">
      <c r="B16" s="481" t="s">
        <v>1075</v>
      </c>
      <c r="C16" s="481"/>
      <c r="D16" s="482"/>
      <c r="E16" s="482"/>
      <c r="F16" s="482"/>
      <c r="G16" s="482"/>
      <c r="H16" s="482"/>
      <c r="I16" s="482"/>
    </row>
    <row r="17" spans="2:9" ht="33.950000000000003" customHeight="1">
      <c r="B17" s="47"/>
      <c r="C17" s="46"/>
    </row>
    <row r="18" spans="2:9" ht="33.950000000000003" customHeight="1">
      <c r="B18" s="483" t="s">
        <v>179</v>
      </c>
      <c r="C18" s="483"/>
      <c r="D18" s="484"/>
      <c r="E18" s="484"/>
      <c r="F18" s="484"/>
      <c r="G18" s="484"/>
      <c r="H18" s="484"/>
      <c r="I18" s="484"/>
    </row>
    <row r="19" spans="2:9" ht="33.950000000000003" customHeight="1">
      <c r="B19" s="47"/>
      <c r="C19" s="46"/>
    </row>
    <row r="20" spans="2:9" ht="33.950000000000003" customHeight="1">
      <c r="B20" s="485" t="s">
        <v>1076</v>
      </c>
      <c r="C20" s="485"/>
      <c r="D20" s="486"/>
      <c r="E20" s="486"/>
      <c r="F20" s="486"/>
      <c r="G20" s="486"/>
      <c r="H20" s="140" t="s">
        <v>901</v>
      </c>
      <c r="I20" s="141" t="s">
        <v>902</v>
      </c>
    </row>
    <row r="21" spans="2:9" ht="33.950000000000003" customHeight="1">
      <c r="B21" s="487" t="s">
        <v>1077</v>
      </c>
      <c r="C21" s="488"/>
      <c r="D21" s="488"/>
      <c r="E21" s="488"/>
      <c r="F21" s="488"/>
      <c r="G21" s="488"/>
      <c r="H21" s="488"/>
      <c r="I21" s="488"/>
    </row>
    <row r="22" spans="2:9" ht="33.950000000000003" customHeight="1">
      <c r="B22" s="487"/>
      <c r="C22" s="488"/>
      <c r="D22" s="488"/>
      <c r="E22" s="488"/>
      <c r="F22" s="488"/>
      <c r="G22" s="488"/>
      <c r="H22" s="488"/>
      <c r="I22" s="488"/>
    </row>
    <row r="23" spans="2:9" ht="33.950000000000003" customHeight="1">
      <c r="B23" s="35"/>
      <c r="C23" s="282"/>
    </row>
    <row r="24" spans="2:9">
      <c r="B24" s="142" t="s">
        <v>26</v>
      </c>
      <c r="E24" s="142" t="s">
        <v>927</v>
      </c>
    </row>
    <row r="25" spans="2:9">
      <c r="B25" s="145">
        <v>120</v>
      </c>
      <c r="D25" s="304"/>
      <c r="E25" s="321"/>
    </row>
    <row r="26" spans="2:9">
      <c r="B26" s="145">
        <v>85</v>
      </c>
    </row>
    <row r="27" spans="2:9">
      <c r="B27" s="145">
        <v>230</v>
      </c>
    </row>
    <row r="28" spans="2:9">
      <c r="B28" s="145">
        <v>65</v>
      </c>
    </row>
    <row r="29" spans="2:9">
      <c r="B29" s="145">
        <v>150</v>
      </c>
    </row>
    <row r="31" spans="2:9">
      <c r="H31" s="202" t="s">
        <v>909</v>
      </c>
      <c r="I31" s="203" t="str">
        <f>IF(E25="","À faire",IFERROR(IF(ABS(E25-650)&lt;0.0001,"✓ Correct","À revoir"),"À revoir"))</f>
        <v>À faire</v>
      </c>
    </row>
    <row r="34" spans="2:9" ht="15">
      <c r="B34" s="486" t="s">
        <v>1078</v>
      </c>
      <c r="C34" s="486"/>
      <c r="D34" s="486"/>
      <c r="E34" s="486"/>
      <c r="F34" s="486"/>
      <c r="G34" s="486"/>
      <c r="H34" s="140" t="s">
        <v>930</v>
      </c>
      <c r="I34" s="141" t="s">
        <v>902</v>
      </c>
    </row>
    <row r="35" spans="2:9">
      <c r="B35" s="488" t="s">
        <v>1079</v>
      </c>
      <c r="C35" s="488"/>
      <c r="D35" s="488"/>
      <c r="E35" s="488"/>
      <c r="F35" s="488"/>
      <c r="G35" s="488"/>
      <c r="H35" s="488"/>
      <c r="I35" s="488"/>
    </row>
    <row r="36" spans="2:9">
      <c r="B36" s="488"/>
      <c r="C36" s="488"/>
      <c r="D36" s="488"/>
      <c r="E36" s="488"/>
      <c r="F36" s="488"/>
      <c r="G36" s="488"/>
      <c r="H36" s="488"/>
      <c r="I36" s="488"/>
    </row>
    <row r="38" spans="2:9">
      <c r="B38" s="142" t="s">
        <v>1080</v>
      </c>
      <c r="E38" s="142" t="s">
        <v>1081</v>
      </c>
      <c r="H38" s="142" t="s">
        <v>927</v>
      </c>
    </row>
    <row r="39" spans="2:9">
      <c r="B39" s="145">
        <v>120</v>
      </c>
      <c r="E39" s="145">
        <v>95</v>
      </c>
      <c r="G39" s="304"/>
      <c r="H39" s="321"/>
    </row>
    <row r="40" spans="2:9">
      <c r="B40" s="145">
        <v>80</v>
      </c>
      <c r="E40" s="145">
        <v>110</v>
      </c>
    </row>
    <row r="41" spans="2:9">
      <c r="B41" s="145">
        <v>150</v>
      </c>
      <c r="E41" s="145">
        <v>75</v>
      </c>
    </row>
    <row r="43" spans="2:9">
      <c r="H43" s="202" t="s">
        <v>909</v>
      </c>
      <c r="I43" s="203" t="str">
        <f>IF(H39="","À faire",IFERROR(IF(ABS(H39-630)&lt;0.0001,"✓ Correct","À revoir"),"À revoir"))</f>
        <v>À faire</v>
      </c>
    </row>
    <row r="46" spans="2:9" ht="15">
      <c r="B46" s="486" t="s">
        <v>1082</v>
      </c>
      <c r="C46" s="486"/>
      <c r="D46" s="486"/>
      <c r="E46" s="486"/>
      <c r="F46" s="486"/>
      <c r="G46" s="486"/>
      <c r="H46" s="140" t="s">
        <v>930</v>
      </c>
      <c r="I46" s="141" t="s">
        <v>902</v>
      </c>
    </row>
    <row r="47" spans="2:9">
      <c r="B47" s="488" t="s">
        <v>1083</v>
      </c>
      <c r="C47" s="488"/>
      <c r="D47" s="488"/>
      <c r="E47" s="488"/>
      <c r="F47" s="488"/>
      <c r="G47" s="488"/>
      <c r="H47" s="488"/>
      <c r="I47" s="488"/>
    </row>
    <row r="48" spans="2:9">
      <c r="B48" s="488"/>
      <c r="C48" s="488"/>
      <c r="D48" s="488"/>
      <c r="E48" s="488"/>
      <c r="F48" s="488"/>
      <c r="G48" s="488"/>
      <c r="H48" s="488"/>
      <c r="I48" s="488"/>
    </row>
    <row r="50" spans="2:9">
      <c r="B50" s="154" t="s">
        <v>24</v>
      </c>
      <c r="C50" s="155" t="s">
        <v>26</v>
      </c>
      <c r="F50" s="142" t="s">
        <v>927</v>
      </c>
    </row>
    <row r="51" spans="2:9">
      <c r="B51" s="150" t="s">
        <v>934</v>
      </c>
      <c r="C51" s="151">
        <v>80</v>
      </c>
      <c r="E51" s="304"/>
      <c r="F51" s="321"/>
    </row>
    <row r="52" spans="2:9">
      <c r="B52" s="150" t="s">
        <v>935</v>
      </c>
      <c r="C52" s="151">
        <v>140</v>
      </c>
    </row>
    <row r="53" spans="2:9">
      <c r="B53" s="150" t="s">
        <v>936</v>
      </c>
      <c r="C53" s="151">
        <v>60</v>
      </c>
    </row>
    <row r="54" spans="2:9">
      <c r="B54" s="152" t="s">
        <v>1084</v>
      </c>
      <c r="C54" s="153">
        <v>220</v>
      </c>
    </row>
    <row r="56" spans="2:9">
      <c r="H56" s="202" t="s">
        <v>909</v>
      </c>
      <c r="I56" s="203" t="str">
        <f>IF(F51="","À faire",IFERROR(IF(ABS(F51-500)&lt;0.0001,"✓ Correct","À revoir"),"À revoir"))</f>
        <v>À faire</v>
      </c>
    </row>
    <row r="59" spans="2:9" ht="15">
      <c r="B59" s="484" t="s">
        <v>184</v>
      </c>
      <c r="C59" s="484"/>
      <c r="D59" s="484"/>
      <c r="E59" s="484"/>
      <c r="F59" s="484"/>
      <c r="G59" s="484"/>
      <c r="H59" s="484"/>
      <c r="I59" s="484"/>
    </row>
    <row r="61" spans="2:9" ht="15">
      <c r="B61" s="486" t="s">
        <v>1085</v>
      </c>
      <c r="C61" s="486"/>
      <c r="D61" s="486"/>
      <c r="E61" s="486"/>
      <c r="F61" s="486"/>
      <c r="G61" s="486"/>
      <c r="H61" s="140" t="s">
        <v>930</v>
      </c>
      <c r="I61" s="141" t="s">
        <v>902</v>
      </c>
    </row>
    <row r="62" spans="2:9">
      <c r="B62" s="488" t="s">
        <v>1086</v>
      </c>
      <c r="C62" s="488"/>
      <c r="D62" s="488"/>
      <c r="E62" s="488"/>
      <c r="F62" s="488"/>
      <c r="G62" s="488"/>
      <c r="H62" s="488"/>
      <c r="I62" s="488"/>
    </row>
    <row r="63" spans="2:9">
      <c r="B63" s="488"/>
      <c r="C63" s="488"/>
      <c r="D63" s="488"/>
      <c r="E63" s="488"/>
      <c r="F63" s="488"/>
      <c r="G63" s="488"/>
      <c r="H63" s="488"/>
      <c r="I63" s="488"/>
    </row>
    <row r="65" spans="2:9">
      <c r="B65" s="142" t="s">
        <v>1087</v>
      </c>
      <c r="C65" s="142" t="s">
        <v>26</v>
      </c>
      <c r="F65" s="142" t="s">
        <v>927</v>
      </c>
    </row>
    <row r="66" spans="2:9">
      <c r="B66" s="310" t="s">
        <v>964</v>
      </c>
      <c r="C66" s="311">
        <v>120</v>
      </c>
      <c r="E66" s="304"/>
      <c r="F66" s="321"/>
    </row>
    <row r="67" spans="2:9">
      <c r="B67" s="312" t="s">
        <v>1088</v>
      </c>
      <c r="C67" s="313">
        <v>200</v>
      </c>
    </row>
    <row r="68" spans="2:9">
      <c r="B68" s="312" t="s">
        <v>964</v>
      </c>
      <c r="C68" s="313">
        <v>350</v>
      </c>
    </row>
    <row r="69" spans="2:9">
      <c r="B69" s="312" t="s">
        <v>1089</v>
      </c>
      <c r="C69" s="313">
        <v>90</v>
      </c>
    </row>
    <row r="70" spans="2:9">
      <c r="B70" s="312" t="s">
        <v>964</v>
      </c>
      <c r="C70" s="313">
        <v>180</v>
      </c>
    </row>
    <row r="72" spans="2:9">
      <c r="H72" s="202" t="s">
        <v>909</v>
      </c>
      <c r="I72" s="203" t="str">
        <f>IF(F66="","À faire",IFERROR(IF(ABS(F66-650)&lt;0.0001,"✓ Correct","À revoir"),"À revoir"))</f>
        <v>À faire</v>
      </c>
    </row>
    <row r="75" spans="2:9" ht="15">
      <c r="B75" s="486" t="s">
        <v>1090</v>
      </c>
      <c r="C75" s="486"/>
      <c r="D75" s="486"/>
      <c r="E75" s="486"/>
      <c r="F75" s="486"/>
      <c r="G75" s="486"/>
      <c r="H75" s="140" t="s">
        <v>930</v>
      </c>
      <c r="I75" s="141" t="s">
        <v>902</v>
      </c>
    </row>
    <row r="76" spans="2:9">
      <c r="B76" s="488" t="s">
        <v>1091</v>
      </c>
      <c r="C76" s="488"/>
      <c r="D76" s="488"/>
      <c r="E76" s="488"/>
      <c r="F76" s="488"/>
      <c r="G76" s="488"/>
      <c r="H76" s="488"/>
      <c r="I76" s="488"/>
    </row>
    <row r="77" spans="2:9">
      <c r="B77" s="488"/>
      <c r="C77" s="488"/>
      <c r="D77" s="488"/>
      <c r="E77" s="488"/>
      <c r="F77" s="488"/>
      <c r="G77" s="488"/>
      <c r="H77" s="488"/>
      <c r="I77" s="488"/>
    </row>
    <row r="79" spans="2:9">
      <c r="B79" s="142" t="s">
        <v>26</v>
      </c>
      <c r="E79" s="142" t="s">
        <v>927</v>
      </c>
    </row>
    <row r="80" spans="2:9">
      <c r="B80" s="145">
        <v>120</v>
      </c>
      <c r="D80" s="304"/>
      <c r="E80" s="321"/>
    </row>
    <row r="81" spans="2:9">
      <c r="B81" s="145">
        <v>550</v>
      </c>
    </row>
    <row r="82" spans="2:9">
      <c r="B82" s="145">
        <v>680</v>
      </c>
    </row>
    <row r="83" spans="2:9">
      <c r="B83" s="145">
        <v>490</v>
      </c>
    </row>
    <row r="84" spans="2:9">
      <c r="B84" s="145">
        <v>800</v>
      </c>
    </row>
    <row r="86" spans="2:9">
      <c r="H86" s="202" t="s">
        <v>909</v>
      </c>
      <c r="I86" s="203" t="str">
        <f>IF(E80="","À faire",IFERROR(IF(ABS(E80-2030)&lt;0.0001,"✓ Correct","À revoir"),"À revoir"))</f>
        <v>À faire</v>
      </c>
    </row>
    <row r="89" spans="2:9" ht="15">
      <c r="B89" s="486" t="s">
        <v>1092</v>
      </c>
      <c r="C89" s="486"/>
      <c r="D89" s="486"/>
      <c r="E89" s="486"/>
      <c r="F89" s="486"/>
      <c r="G89" s="486"/>
      <c r="H89" s="140" t="s">
        <v>930</v>
      </c>
      <c r="I89" s="141" t="s">
        <v>902</v>
      </c>
    </row>
    <row r="90" spans="2:9">
      <c r="B90" s="488" t="s">
        <v>1093</v>
      </c>
      <c r="C90" s="488"/>
      <c r="D90" s="488"/>
      <c r="E90" s="488"/>
      <c r="F90" s="488"/>
      <c r="G90" s="488"/>
      <c r="H90" s="488"/>
      <c r="I90" s="488"/>
    </row>
    <row r="91" spans="2:9">
      <c r="B91" s="488"/>
      <c r="C91" s="488"/>
      <c r="D91" s="488"/>
      <c r="E91" s="488"/>
      <c r="F91" s="488"/>
      <c r="G91" s="488"/>
      <c r="H91" s="488"/>
      <c r="I91" s="488"/>
    </row>
    <row r="93" spans="2:9">
      <c r="B93" s="142" t="s">
        <v>1087</v>
      </c>
      <c r="C93" s="142" t="s">
        <v>26</v>
      </c>
      <c r="F93" s="142" t="s">
        <v>1094</v>
      </c>
      <c r="H93" s="142" t="s">
        <v>927</v>
      </c>
    </row>
    <row r="94" spans="2:9">
      <c r="B94" s="310" t="s">
        <v>964</v>
      </c>
      <c r="C94" s="311">
        <v>180</v>
      </c>
      <c r="F94" s="143" t="s">
        <v>1088</v>
      </c>
      <c r="G94" s="304"/>
      <c r="H94" s="321"/>
    </row>
    <row r="95" spans="2:9">
      <c r="B95" s="312" t="s">
        <v>1088</v>
      </c>
      <c r="C95" s="313">
        <v>220</v>
      </c>
    </row>
    <row r="96" spans="2:9">
      <c r="B96" s="312" t="s">
        <v>1089</v>
      </c>
      <c r="C96" s="313">
        <v>90</v>
      </c>
    </row>
    <row r="97" spans="2:9">
      <c r="B97" s="312" t="s">
        <v>1088</v>
      </c>
      <c r="C97" s="313">
        <v>170</v>
      </c>
    </row>
    <row r="98" spans="2:9">
      <c r="B98" s="312" t="s">
        <v>964</v>
      </c>
      <c r="C98" s="313">
        <v>310</v>
      </c>
    </row>
    <row r="100" spans="2:9">
      <c r="H100" s="202" t="s">
        <v>909</v>
      </c>
      <c r="I100" s="203" t="str">
        <f>IF(H94="","À faire",IFERROR(IF(ABS(H94-390)&lt;0.0001,"✓ Correct","À revoir"),"À revoir"))</f>
        <v>À faire</v>
      </c>
    </row>
    <row r="103" spans="2:9" ht="15">
      <c r="B103" s="484" t="s">
        <v>191</v>
      </c>
      <c r="C103" s="484"/>
      <c r="D103" s="484"/>
      <c r="E103" s="484"/>
      <c r="F103" s="484"/>
      <c r="G103" s="484"/>
      <c r="H103" s="484"/>
      <c r="I103" s="484"/>
    </row>
    <row r="105" spans="2:9" ht="15">
      <c r="B105" s="486" t="s">
        <v>1095</v>
      </c>
      <c r="C105" s="486"/>
      <c r="D105" s="486"/>
      <c r="E105" s="486"/>
      <c r="F105" s="486"/>
      <c r="G105" s="486"/>
      <c r="H105" s="140" t="s">
        <v>930</v>
      </c>
      <c r="I105" s="141" t="s">
        <v>902</v>
      </c>
    </row>
    <row r="106" spans="2:9">
      <c r="B106" s="488" t="s">
        <v>1096</v>
      </c>
      <c r="C106" s="488"/>
      <c r="D106" s="488"/>
      <c r="E106" s="488"/>
      <c r="F106" s="488"/>
      <c r="G106" s="488"/>
      <c r="H106" s="488"/>
      <c r="I106" s="488"/>
    </row>
    <row r="107" spans="2:9">
      <c r="B107" s="488"/>
      <c r="C107" s="488"/>
      <c r="D107" s="488"/>
      <c r="E107" s="488"/>
      <c r="F107" s="488"/>
      <c r="G107" s="488"/>
      <c r="H107" s="488"/>
      <c r="I107" s="488"/>
    </row>
    <row r="109" spans="2:9">
      <c r="B109" s="142" t="s">
        <v>1087</v>
      </c>
      <c r="C109" s="142" t="s">
        <v>1097</v>
      </c>
      <c r="D109" s="142" t="s">
        <v>26</v>
      </c>
      <c r="G109" s="142" t="s">
        <v>927</v>
      </c>
    </row>
    <row r="110" spans="2:9">
      <c r="B110" s="310" t="s">
        <v>964</v>
      </c>
      <c r="C110" s="144" t="s">
        <v>1098</v>
      </c>
      <c r="D110" s="311">
        <v>450</v>
      </c>
      <c r="F110" s="304"/>
      <c r="G110" s="321"/>
    </row>
    <row r="111" spans="2:9">
      <c r="B111" s="312" t="s">
        <v>1088</v>
      </c>
      <c r="C111" s="314" t="s">
        <v>1098</v>
      </c>
      <c r="D111" s="313">
        <v>640</v>
      </c>
    </row>
    <row r="112" spans="2:9">
      <c r="B112" s="312" t="s">
        <v>964</v>
      </c>
      <c r="C112" s="314" t="s">
        <v>1099</v>
      </c>
      <c r="D112" s="313">
        <v>180</v>
      </c>
    </row>
    <row r="113" spans="2:9">
      <c r="B113" s="312" t="s">
        <v>964</v>
      </c>
      <c r="C113" s="314" t="s">
        <v>1098</v>
      </c>
      <c r="D113" s="313">
        <v>300</v>
      </c>
    </row>
    <row r="114" spans="2:9">
      <c r="B114" s="312" t="s">
        <v>1089</v>
      </c>
      <c r="C114" s="314" t="s">
        <v>1098</v>
      </c>
      <c r="D114" s="313">
        <v>250</v>
      </c>
    </row>
    <row r="115" spans="2:9">
      <c r="B115" s="312" t="s">
        <v>964</v>
      </c>
      <c r="C115" s="314" t="s">
        <v>1098</v>
      </c>
      <c r="D115" s="313">
        <v>900</v>
      </c>
    </row>
    <row r="117" spans="2:9">
      <c r="H117" s="202" t="s">
        <v>909</v>
      </c>
      <c r="I117" s="203" t="str">
        <f>IF(G110="","À faire",IFERROR(IF(ABS(G110-1650)&lt;0.0001,"✓ Correct","À revoir"),"À revoir"))</f>
        <v>À faire</v>
      </c>
    </row>
    <row r="120" spans="2:9" ht="15">
      <c r="B120" s="484" t="s">
        <v>196</v>
      </c>
      <c r="C120" s="484"/>
      <c r="D120" s="484"/>
      <c r="E120" s="484"/>
      <c r="F120" s="484"/>
      <c r="G120" s="484"/>
      <c r="H120" s="484"/>
      <c r="I120" s="484"/>
    </row>
    <row r="122" spans="2:9" ht="15">
      <c r="B122" s="486" t="s">
        <v>1100</v>
      </c>
      <c r="C122" s="486"/>
      <c r="D122" s="486"/>
      <c r="E122" s="486"/>
      <c r="F122" s="486"/>
      <c r="G122" s="486"/>
      <c r="H122" s="140" t="s">
        <v>930</v>
      </c>
      <c r="I122" s="141" t="s">
        <v>902</v>
      </c>
    </row>
    <row r="123" spans="2:9">
      <c r="B123" s="488" t="s">
        <v>1101</v>
      </c>
      <c r="C123" s="488"/>
      <c r="D123" s="488"/>
      <c r="E123" s="488"/>
      <c r="F123" s="488"/>
      <c r="G123" s="488"/>
      <c r="H123" s="488"/>
      <c r="I123" s="488"/>
    </row>
    <row r="124" spans="2:9">
      <c r="B124" s="488"/>
      <c r="C124" s="488"/>
      <c r="D124" s="488"/>
      <c r="E124" s="488"/>
      <c r="F124" s="488"/>
      <c r="G124" s="488"/>
      <c r="H124" s="488"/>
      <c r="I124" s="488"/>
    </row>
    <row r="126" spans="2:9">
      <c r="B126" s="142" t="s">
        <v>1102</v>
      </c>
      <c r="E126" s="142" t="s">
        <v>927</v>
      </c>
    </row>
    <row r="127" spans="2:9">
      <c r="B127" s="315">
        <v>12</v>
      </c>
      <c r="D127" s="304"/>
      <c r="E127" s="322"/>
    </row>
    <row r="128" spans="2:9">
      <c r="B128" s="315">
        <v>18</v>
      </c>
    </row>
    <row r="129" spans="2:9">
      <c r="B129" s="315"/>
    </row>
    <row r="130" spans="2:9">
      <c r="B130" s="315">
        <v>0</v>
      </c>
    </row>
    <row r="131" spans="2:9">
      <c r="B131" s="315">
        <v>20</v>
      </c>
    </row>
    <row r="133" spans="2:9">
      <c r="H133" s="202" t="s">
        <v>909</v>
      </c>
      <c r="I133" s="203" t="str">
        <f>IF(E127="","À faire",IFERROR(IF(ABS(E127-12.5)&lt;0.0001,"✓ Correct","À revoir"),"À revoir"))</f>
        <v>À faire</v>
      </c>
    </row>
    <row r="136" spans="2:9" ht="15">
      <c r="B136" s="484" t="s">
        <v>201</v>
      </c>
      <c r="C136" s="484"/>
      <c r="D136" s="484"/>
      <c r="E136" s="484"/>
      <c r="F136" s="484"/>
      <c r="G136" s="484"/>
      <c r="H136" s="484"/>
      <c r="I136" s="484"/>
    </row>
    <row r="138" spans="2:9" ht="15">
      <c r="B138" s="486" t="s">
        <v>1103</v>
      </c>
      <c r="C138" s="486"/>
      <c r="D138" s="486"/>
      <c r="E138" s="486"/>
      <c r="F138" s="486"/>
      <c r="G138" s="486"/>
      <c r="H138" s="140" t="s">
        <v>930</v>
      </c>
      <c r="I138" s="141" t="s">
        <v>902</v>
      </c>
    </row>
    <row r="139" spans="2:9">
      <c r="B139" s="488" t="s">
        <v>1104</v>
      </c>
      <c r="C139" s="488"/>
      <c r="D139" s="488"/>
      <c r="E139" s="488"/>
      <c r="F139" s="488"/>
      <c r="G139" s="488"/>
      <c r="H139" s="488"/>
      <c r="I139" s="488"/>
    </row>
    <row r="140" spans="2:9">
      <c r="B140" s="488"/>
      <c r="C140" s="488"/>
      <c r="D140" s="488"/>
      <c r="E140" s="488"/>
      <c r="F140" s="488"/>
      <c r="G140" s="488"/>
      <c r="H140" s="488"/>
      <c r="I140" s="488"/>
    </row>
    <row r="142" spans="2:9">
      <c r="B142" s="142" t="s">
        <v>1097</v>
      </c>
      <c r="C142" s="142" t="s">
        <v>26</v>
      </c>
      <c r="F142" s="142" t="s">
        <v>927</v>
      </c>
    </row>
    <row r="143" spans="2:9">
      <c r="B143" s="310" t="s">
        <v>1098</v>
      </c>
      <c r="C143" s="311">
        <v>240</v>
      </c>
      <c r="E143" s="304"/>
      <c r="F143" s="321"/>
    </row>
    <row r="144" spans="2:9">
      <c r="B144" s="312" t="s">
        <v>1099</v>
      </c>
      <c r="C144" s="313">
        <v>180</v>
      </c>
    </row>
    <row r="145" spans="2:9">
      <c r="B145" s="312" t="s">
        <v>1098</v>
      </c>
      <c r="C145" s="313">
        <v>360</v>
      </c>
    </row>
    <row r="146" spans="2:9">
      <c r="B146" s="312" t="s">
        <v>1105</v>
      </c>
      <c r="C146" s="313">
        <v>100</v>
      </c>
    </row>
    <row r="147" spans="2:9">
      <c r="B147" s="312" t="s">
        <v>1098</v>
      </c>
      <c r="C147" s="313">
        <v>600</v>
      </c>
    </row>
    <row r="149" spans="2:9">
      <c r="H149" s="202" t="s">
        <v>909</v>
      </c>
      <c r="I149" s="203" t="str">
        <f>IF(F143="","À faire",IFERROR(IF(ABS(F143-400)&lt;0.0001,"✓ Correct","À revoir"),"À revoir"))</f>
        <v>À faire</v>
      </c>
    </row>
    <row r="152" spans="2:9" ht="15">
      <c r="B152" s="484" t="s">
        <v>207</v>
      </c>
      <c r="C152" s="484"/>
      <c r="D152" s="484"/>
      <c r="E152" s="484"/>
      <c r="F152" s="484"/>
      <c r="G152" s="484"/>
      <c r="H152" s="484"/>
      <c r="I152" s="484"/>
    </row>
    <row r="154" spans="2:9" ht="15">
      <c r="B154" s="486" t="s">
        <v>1106</v>
      </c>
      <c r="C154" s="486"/>
      <c r="D154" s="486"/>
      <c r="E154" s="486"/>
      <c r="F154" s="486"/>
      <c r="G154" s="486"/>
      <c r="H154" s="140" t="s">
        <v>947</v>
      </c>
      <c r="I154" s="141" t="s">
        <v>902</v>
      </c>
    </row>
    <row r="155" spans="2:9">
      <c r="B155" s="488" t="s">
        <v>1107</v>
      </c>
      <c r="C155" s="488"/>
      <c r="D155" s="488"/>
      <c r="E155" s="488"/>
      <c r="F155" s="488"/>
      <c r="G155" s="488"/>
      <c r="H155" s="488"/>
      <c r="I155" s="488"/>
    </row>
    <row r="156" spans="2:9">
      <c r="B156" s="488"/>
      <c r="C156" s="488"/>
      <c r="D156" s="488"/>
      <c r="E156" s="488"/>
      <c r="F156" s="488"/>
      <c r="G156" s="488"/>
      <c r="H156" s="488"/>
      <c r="I156" s="488"/>
    </row>
    <row r="158" spans="2:9">
      <c r="B158" s="142" t="s">
        <v>1087</v>
      </c>
      <c r="C158" s="142" t="s">
        <v>1097</v>
      </c>
      <c r="D158" s="142" t="s">
        <v>26</v>
      </c>
      <c r="G158" s="142" t="s">
        <v>927</v>
      </c>
    </row>
    <row r="159" spans="2:9">
      <c r="B159" s="310" t="s">
        <v>964</v>
      </c>
      <c r="C159" s="144" t="s">
        <v>1098</v>
      </c>
      <c r="D159" s="311">
        <v>450</v>
      </c>
      <c r="F159" s="304"/>
      <c r="G159" s="321"/>
    </row>
    <row r="160" spans="2:9">
      <c r="B160" s="312" t="s">
        <v>964</v>
      </c>
      <c r="C160" s="314" t="s">
        <v>1098</v>
      </c>
      <c r="D160" s="313">
        <v>650</v>
      </c>
    </row>
    <row r="161" spans="2:9">
      <c r="B161" s="312" t="s">
        <v>964</v>
      </c>
      <c r="C161" s="314" t="s">
        <v>1099</v>
      </c>
      <c r="D161" s="313">
        <v>180</v>
      </c>
    </row>
    <row r="162" spans="2:9">
      <c r="B162" s="312" t="s">
        <v>1088</v>
      </c>
      <c r="C162" s="314" t="s">
        <v>1098</v>
      </c>
      <c r="D162" s="313">
        <v>700</v>
      </c>
    </row>
    <row r="163" spans="2:9">
      <c r="B163" s="312" t="s">
        <v>964</v>
      </c>
      <c r="C163" s="314" t="s">
        <v>1098</v>
      </c>
      <c r="D163" s="313">
        <v>550</v>
      </c>
    </row>
    <row r="165" spans="2:9">
      <c r="H165" s="202" t="s">
        <v>909</v>
      </c>
      <c r="I165" s="203" t="str">
        <f>IF(G159="","À faire",IFERROR(IF(ABS(G159-550)&lt;0.0001,"✓ Correct","À revoir"),"À revoir"))</f>
        <v>À faire</v>
      </c>
    </row>
    <row r="168" spans="2:9" ht="15">
      <c r="B168" s="484" t="s">
        <v>212</v>
      </c>
      <c r="C168" s="484"/>
      <c r="D168" s="484"/>
      <c r="E168" s="484"/>
      <c r="F168" s="484"/>
      <c r="G168" s="484"/>
      <c r="H168" s="484"/>
      <c r="I168" s="484"/>
    </row>
    <row r="170" spans="2:9" ht="15">
      <c r="B170" s="486" t="s">
        <v>1108</v>
      </c>
      <c r="C170" s="486"/>
      <c r="D170" s="486"/>
      <c r="E170" s="486"/>
      <c r="F170" s="486"/>
      <c r="G170" s="486"/>
      <c r="H170" s="140" t="s">
        <v>901</v>
      </c>
      <c r="I170" s="141" t="s">
        <v>902</v>
      </c>
    </row>
    <row r="171" spans="2:9">
      <c r="B171" s="488" t="s">
        <v>1109</v>
      </c>
      <c r="C171" s="488"/>
      <c r="D171" s="488"/>
      <c r="E171" s="488"/>
      <c r="F171" s="488"/>
      <c r="G171" s="488"/>
      <c r="H171" s="488"/>
      <c r="I171" s="488"/>
    </row>
    <row r="172" spans="2:9">
      <c r="B172" s="488"/>
      <c r="C172" s="488"/>
      <c r="D172" s="488"/>
      <c r="E172" s="488"/>
      <c r="F172" s="488"/>
      <c r="G172" s="488"/>
      <c r="H172" s="488"/>
      <c r="I172" s="488"/>
    </row>
    <row r="174" spans="2:9">
      <c r="B174" s="142" t="s">
        <v>1110</v>
      </c>
      <c r="E174" s="142" t="s">
        <v>927</v>
      </c>
    </row>
    <row r="175" spans="2:9">
      <c r="B175" s="143">
        <v>12</v>
      </c>
      <c r="D175" s="304"/>
      <c r="E175" s="320"/>
    </row>
    <row r="176" spans="2:9">
      <c r="B176" s="143" t="s">
        <v>980</v>
      </c>
    </row>
    <row r="177" spans="2:9">
      <c r="B177" s="143"/>
    </row>
    <row r="178" spans="2:9">
      <c r="B178" s="316">
        <f>DATE(2026,8,15)</f>
        <v>46249</v>
      </c>
    </row>
    <row r="179" spans="2:9">
      <c r="B179" s="143">
        <v>0</v>
      </c>
    </row>
    <row r="180" spans="2:9">
      <c r="B180" s="143" t="s">
        <v>1111</v>
      </c>
    </row>
    <row r="182" spans="2:9">
      <c r="H182" s="202" t="s">
        <v>909</v>
      </c>
      <c r="I182" s="203" t="str">
        <f>IF(E175="","À faire",IFERROR(IF(ABS(E175-3)&lt;0.0001,"✓ Correct","À revoir"),"À revoir"))</f>
        <v>À faire</v>
      </c>
    </row>
    <row r="185" spans="2:9" ht="15">
      <c r="B185" s="484" t="s">
        <v>217</v>
      </c>
      <c r="C185" s="484"/>
      <c r="D185" s="484"/>
      <c r="E185" s="484"/>
      <c r="F185" s="484"/>
      <c r="G185" s="484"/>
      <c r="H185" s="484"/>
      <c r="I185" s="484"/>
    </row>
    <row r="187" spans="2:9" ht="15">
      <c r="B187" s="486" t="s">
        <v>1112</v>
      </c>
      <c r="C187" s="486"/>
      <c r="D187" s="486"/>
      <c r="E187" s="486"/>
      <c r="F187" s="486"/>
      <c r="G187" s="486"/>
      <c r="H187" s="140" t="s">
        <v>930</v>
      </c>
      <c r="I187" s="141" t="s">
        <v>902</v>
      </c>
    </row>
    <row r="188" spans="2:9">
      <c r="B188" s="488" t="s">
        <v>1113</v>
      </c>
      <c r="C188" s="488"/>
      <c r="D188" s="488"/>
      <c r="E188" s="488"/>
      <c r="F188" s="488"/>
      <c r="G188" s="488"/>
      <c r="H188" s="488"/>
      <c r="I188" s="488"/>
    </row>
    <row r="189" spans="2:9">
      <c r="B189" s="488"/>
      <c r="C189" s="488"/>
      <c r="D189" s="488"/>
      <c r="E189" s="488"/>
      <c r="F189" s="488"/>
      <c r="G189" s="488"/>
      <c r="H189" s="488"/>
      <c r="I189" s="488"/>
    </row>
    <row r="191" spans="2:9">
      <c r="B191" s="142" t="s">
        <v>1110</v>
      </c>
      <c r="E191" s="142" t="s">
        <v>212</v>
      </c>
      <c r="G191" s="142" t="s">
        <v>217</v>
      </c>
    </row>
    <row r="192" spans="2:9">
      <c r="B192" s="143">
        <v>12</v>
      </c>
      <c r="D192" s="304"/>
      <c r="E192" s="320"/>
      <c r="F192" s="304"/>
      <c r="G192" s="320"/>
    </row>
    <row r="193" spans="2:9">
      <c r="B193" s="143" t="s">
        <v>980</v>
      </c>
    </row>
    <row r="194" spans="2:9">
      <c r="B194" s="143"/>
    </row>
    <row r="195" spans="2:9">
      <c r="B195" s="143" t="str">
        <f>""</f>
        <v/>
      </c>
    </row>
    <row r="196" spans="2:9">
      <c r="B196" s="143">
        <v>0</v>
      </c>
    </row>
    <row r="198" spans="2:9">
      <c r="H198" s="202" t="s">
        <v>909</v>
      </c>
      <c r="I198" s="203" t="str">
        <f>IF(COUNTA(E192,G192)=0,"À faire",IFERROR(IF(AND(ABS(E192-2)&lt;0.0001,ABS(G192-4)&lt;0.0001),"✓ Correct","À revoir"),"À revoir"))</f>
        <v>À faire</v>
      </c>
    </row>
    <row r="201" spans="2:9" ht="15">
      <c r="B201" s="484" t="s">
        <v>223</v>
      </c>
      <c r="C201" s="484"/>
      <c r="D201" s="484"/>
      <c r="E201" s="484"/>
      <c r="F201" s="484"/>
      <c r="G201" s="484"/>
      <c r="H201" s="484"/>
      <c r="I201" s="484"/>
    </row>
    <row r="203" spans="2:9" ht="15">
      <c r="B203" s="486" t="s">
        <v>1114</v>
      </c>
      <c r="C203" s="486"/>
      <c r="D203" s="486"/>
      <c r="E203" s="486"/>
      <c r="F203" s="486"/>
      <c r="G203" s="486"/>
      <c r="H203" s="140" t="s">
        <v>930</v>
      </c>
      <c r="I203" s="141" t="s">
        <v>902</v>
      </c>
    </row>
    <row r="204" spans="2:9">
      <c r="B204" s="488" t="s">
        <v>1115</v>
      </c>
      <c r="C204" s="488"/>
      <c r="D204" s="488"/>
      <c r="E204" s="488"/>
      <c r="F204" s="488"/>
      <c r="G204" s="488"/>
      <c r="H204" s="488"/>
      <c r="I204" s="488"/>
    </row>
    <row r="205" spans="2:9">
      <c r="B205" s="488"/>
      <c r="C205" s="488"/>
      <c r="D205" s="488"/>
      <c r="E205" s="488"/>
      <c r="F205" s="488"/>
      <c r="G205" s="488"/>
      <c r="H205" s="488"/>
      <c r="I205" s="488"/>
    </row>
    <row r="207" spans="2:9">
      <c r="B207" s="142" t="s">
        <v>1097</v>
      </c>
      <c r="E207" s="142" t="s">
        <v>927</v>
      </c>
    </row>
    <row r="208" spans="2:9">
      <c r="B208" s="143" t="s">
        <v>1098</v>
      </c>
      <c r="D208" s="304"/>
      <c r="E208" s="320"/>
    </row>
    <row r="209" spans="2:9">
      <c r="B209" s="143" t="s">
        <v>1099</v>
      </c>
    </row>
    <row r="210" spans="2:9">
      <c r="B210" s="143" t="s">
        <v>1098</v>
      </c>
    </row>
    <row r="211" spans="2:9">
      <c r="B211" s="143" t="s">
        <v>1105</v>
      </c>
    </row>
    <row r="212" spans="2:9">
      <c r="B212" s="143" t="s">
        <v>1098</v>
      </c>
    </row>
    <row r="213" spans="2:9">
      <c r="B213" s="143" t="s">
        <v>1099</v>
      </c>
    </row>
    <row r="215" spans="2:9">
      <c r="H215" s="202" t="s">
        <v>909</v>
      </c>
      <c r="I215" s="203" t="str">
        <f>IF(E208="","À faire",IFERROR(IF(ABS(E208-3)&lt;0.0001,"✓ Correct","À revoir"),"À revoir"))</f>
        <v>À faire</v>
      </c>
    </row>
    <row r="218" spans="2:9" ht="15">
      <c r="B218" s="486" t="s">
        <v>1116</v>
      </c>
      <c r="C218" s="486"/>
      <c r="D218" s="486"/>
      <c r="E218" s="486"/>
      <c r="F218" s="486"/>
      <c r="G218" s="486"/>
      <c r="H218" s="140" t="s">
        <v>930</v>
      </c>
      <c r="I218" s="141" t="s">
        <v>902</v>
      </c>
    </row>
    <row r="219" spans="2:9">
      <c r="B219" s="488" t="s">
        <v>1117</v>
      </c>
      <c r="C219" s="488"/>
      <c r="D219" s="488"/>
      <c r="E219" s="488"/>
      <c r="F219" s="488"/>
      <c r="G219" s="488"/>
      <c r="H219" s="488"/>
      <c r="I219" s="488"/>
    </row>
    <row r="220" spans="2:9">
      <c r="B220" s="488"/>
      <c r="C220" s="488"/>
      <c r="D220" s="488"/>
      <c r="E220" s="488"/>
      <c r="F220" s="488"/>
      <c r="G220" s="488"/>
      <c r="H220" s="488"/>
      <c r="I220" s="488"/>
    </row>
    <row r="222" spans="2:9">
      <c r="B222" s="142" t="s">
        <v>26</v>
      </c>
      <c r="E222" s="142" t="s">
        <v>1118</v>
      </c>
      <c r="G222" s="142" t="s">
        <v>927</v>
      </c>
    </row>
    <row r="223" spans="2:9">
      <c r="B223" s="145">
        <v>120</v>
      </c>
      <c r="E223" s="145">
        <v>500</v>
      </c>
      <c r="F223" s="304"/>
      <c r="G223" s="320"/>
    </row>
    <row r="224" spans="2:9">
      <c r="B224" s="145">
        <v>550</v>
      </c>
    </row>
    <row r="225" spans="2:9">
      <c r="B225" s="145">
        <v>680</v>
      </c>
    </row>
    <row r="226" spans="2:9">
      <c r="B226" s="145">
        <v>490</v>
      </c>
    </row>
    <row r="227" spans="2:9">
      <c r="B227" s="145">
        <v>800</v>
      </c>
    </row>
    <row r="229" spans="2:9">
      <c r="H229" s="202" t="s">
        <v>909</v>
      </c>
      <c r="I229" s="203" t="str">
        <f>IF(G223="","À faire",IFERROR(IF(ABS(G223-3)&lt;0.0001,"✓ Correct","À revoir"),"À revoir"))</f>
        <v>À faire</v>
      </c>
    </row>
    <row r="232" spans="2:9" ht="15">
      <c r="B232" s="484" t="s">
        <v>229</v>
      </c>
      <c r="C232" s="484"/>
      <c r="D232" s="484"/>
      <c r="E232" s="484"/>
      <c r="F232" s="484"/>
      <c r="G232" s="484"/>
      <c r="H232" s="484"/>
      <c r="I232" s="484"/>
    </row>
    <row r="234" spans="2:9" ht="15">
      <c r="B234" s="486" t="s">
        <v>1119</v>
      </c>
      <c r="C234" s="486"/>
      <c r="D234" s="486"/>
      <c r="E234" s="486"/>
      <c r="F234" s="486"/>
      <c r="G234" s="486"/>
      <c r="H234" s="140" t="s">
        <v>930</v>
      </c>
      <c r="I234" s="141" t="s">
        <v>902</v>
      </c>
    </row>
    <row r="235" spans="2:9">
      <c r="B235" s="488" t="s">
        <v>1120</v>
      </c>
      <c r="C235" s="488"/>
      <c r="D235" s="488"/>
      <c r="E235" s="488"/>
      <c r="F235" s="488"/>
      <c r="G235" s="488"/>
      <c r="H235" s="488"/>
      <c r="I235" s="488"/>
    </row>
    <row r="236" spans="2:9">
      <c r="B236" s="488"/>
      <c r="C236" s="488"/>
      <c r="D236" s="488"/>
      <c r="E236" s="488"/>
      <c r="F236" s="488"/>
      <c r="G236" s="488"/>
      <c r="H236" s="488"/>
      <c r="I236" s="488"/>
    </row>
    <row r="238" spans="2:9">
      <c r="B238" s="142" t="s">
        <v>1087</v>
      </c>
      <c r="C238" s="142" t="s">
        <v>1097</v>
      </c>
      <c r="F238" s="142" t="s">
        <v>927</v>
      </c>
    </row>
    <row r="239" spans="2:9">
      <c r="B239" s="310" t="s">
        <v>964</v>
      </c>
      <c r="C239" s="317" t="s">
        <v>1098</v>
      </c>
      <c r="E239" s="304"/>
      <c r="F239" s="320"/>
    </row>
    <row r="240" spans="2:9">
      <c r="B240" s="312" t="s">
        <v>1088</v>
      </c>
      <c r="C240" s="318" t="s">
        <v>1098</v>
      </c>
    </row>
    <row r="241" spans="2:9">
      <c r="B241" s="312" t="s">
        <v>964</v>
      </c>
      <c r="C241" s="318" t="s">
        <v>1099</v>
      </c>
    </row>
    <row r="242" spans="2:9">
      <c r="B242" s="312" t="s">
        <v>964</v>
      </c>
      <c r="C242" s="318" t="s">
        <v>1098</v>
      </c>
    </row>
    <row r="243" spans="2:9">
      <c r="B243" s="312" t="s">
        <v>1089</v>
      </c>
      <c r="C243" s="318" t="s">
        <v>1098</v>
      </c>
    </row>
    <row r="244" spans="2:9">
      <c r="B244" s="312" t="s">
        <v>964</v>
      </c>
      <c r="C244" s="318" t="s">
        <v>1098</v>
      </c>
    </row>
    <row r="246" spans="2:9">
      <c r="H246" s="202" t="s">
        <v>909</v>
      </c>
      <c r="I246" s="203" t="str">
        <f>IF(F239="","À faire",IFERROR(IF(ABS(F239-3)&lt;0.0001,"✓ Correct","À revoir"),"À revoir"))</f>
        <v>À faire</v>
      </c>
    </row>
    <row r="249" spans="2:9" ht="15">
      <c r="B249" s="484" t="s">
        <v>235</v>
      </c>
      <c r="C249" s="484"/>
      <c r="D249" s="484"/>
      <c r="E249" s="484"/>
      <c r="F249" s="484"/>
      <c r="G249" s="484"/>
      <c r="H249" s="484"/>
      <c r="I249" s="484"/>
    </row>
    <row r="251" spans="2:9" ht="15">
      <c r="B251" s="486" t="s">
        <v>1121</v>
      </c>
      <c r="C251" s="486"/>
      <c r="D251" s="486"/>
      <c r="E251" s="486"/>
      <c r="F251" s="486"/>
      <c r="G251" s="486"/>
      <c r="H251" s="140" t="s">
        <v>901</v>
      </c>
      <c r="I251" s="141" t="s">
        <v>902</v>
      </c>
    </row>
    <row r="252" spans="2:9">
      <c r="B252" s="488" t="s">
        <v>1122</v>
      </c>
      <c r="C252" s="488"/>
      <c r="D252" s="488"/>
      <c r="E252" s="488"/>
      <c r="F252" s="488"/>
      <c r="G252" s="488"/>
      <c r="H252" s="488"/>
      <c r="I252" s="488"/>
    </row>
    <row r="253" spans="2:9">
      <c r="B253" s="488"/>
      <c r="C253" s="488"/>
      <c r="D253" s="488"/>
      <c r="E253" s="488"/>
      <c r="F253" s="488"/>
      <c r="G253" s="488"/>
      <c r="H253" s="488"/>
      <c r="I253" s="488"/>
    </row>
    <row r="255" spans="2:9">
      <c r="B255" s="142" t="s">
        <v>26</v>
      </c>
      <c r="E255" s="142" t="s">
        <v>927</v>
      </c>
    </row>
    <row r="256" spans="2:9">
      <c r="B256" s="145">
        <v>120</v>
      </c>
      <c r="D256" s="304"/>
      <c r="E256" s="321"/>
    </row>
    <row r="257" spans="2:9">
      <c r="B257" s="145">
        <v>550</v>
      </c>
    </row>
    <row r="258" spans="2:9">
      <c r="B258" s="145">
        <v>680</v>
      </c>
    </row>
    <row r="259" spans="2:9">
      <c r="B259" s="145">
        <v>490</v>
      </c>
    </row>
    <row r="260" spans="2:9">
      <c r="B260" s="145">
        <v>800</v>
      </c>
    </row>
    <row r="262" spans="2:9">
      <c r="H262" s="202" t="s">
        <v>909</v>
      </c>
      <c r="I262" s="203" t="str">
        <f>IF(E256="","À faire",IFERROR(IF(ABS(E256-120)&lt;0.0001,"✓ Correct","À revoir"),"À revoir"))</f>
        <v>À faire</v>
      </c>
    </row>
    <row r="265" spans="2:9" ht="15">
      <c r="B265" s="484" t="s">
        <v>241</v>
      </c>
      <c r="C265" s="484"/>
      <c r="D265" s="484"/>
      <c r="E265" s="484"/>
      <c r="F265" s="484"/>
      <c r="G265" s="484"/>
      <c r="H265" s="484"/>
      <c r="I265" s="484"/>
    </row>
    <row r="267" spans="2:9" ht="15">
      <c r="B267" s="486" t="s">
        <v>1123</v>
      </c>
      <c r="C267" s="486"/>
      <c r="D267" s="486"/>
      <c r="E267" s="486"/>
      <c r="F267" s="486"/>
      <c r="G267" s="486"/>
      <c r="H267" s="140" t="s">
        <v>901</v>
      </c>
      <c r="I267" s="141" t="s">
        <v>902</v>
      </c>
    </row>
    <row r="268" spans="2:9">
      <c r="B268" s="488" t="s">
        <v>1124</v>
      </c>
      <c r="C268" s="488"/>
      <c r="D268" s="488"/>
      <c r="E268" s="488"/>
      <c r="F268" s="488"/>
      <c r="G268" s="488"/>
      <c r="H268" s="488"/>
      <c r="I268" s="488"/>
    </row>
    <row r="269" spans="2:9">
      <c r="B269" s="488"/>
      <c r="C269" s="488"/>
      <c r="D269" s="488"/>
      <c r="E269" s="488"/>
      <c r="F269" s="488"/>
      <c r="G269" s="488"/>
      <c r="H269" s="488"/>
      <c r="I269" s="488"/>
    </row>
    <row r="271" spans="2:9">
      <c r="B271" s="142" t="s">
        <v>26</v>
      </c>
      <c r="E271" s="142" t="s">
        <v>927</v>
      </c>
    </row>
    <row r="272" spans="2:9">
      <c r="B272" s="145">
        <v>450</v>
      </c>
      <c r="D272" s="304"/>
      <c r="E272" s="321"/>
    </row>
    <row r="273" spans="2:9">
      <c r="B273" s="145">
        <v>250</v>
      </c>
    </row>
    <row r="274" spans="2:9">
      <c r="B274" s="145">
        <v>900</v>
      </c>
    </row>
    <row r="275" spans="2:9">
      <c r="B275" s="145">
        <v>180</v>
      </c>
    </row>
    <row r="276" spans="2:9">
      <c r="B276" s="145">
        <v>640</v>
      </c>
    </row>
    <row r="278" spans="2:9">
      <c r="H278" s="202" t="s">
        <v>909</v>
      </c>
      <c r="I278" s="203" t="str">
        <f>IF(E272="","À faire",IFERROR(IF(ABS(E272-900)&lt;0.0001,"✓ Correct","À revoir"),"À revoir"))</f>
        <v>À faire</v>
      </c>
    </row>
    <row r="281" spans="2:9" ht="15">
      <c r="B281" s="484" t="s">
        <v>247</v>
      </c>
      <c r="C281" s="484"/>
      <c r="D281" s="484"/>
      <c r="E281" s="484"/>
      <c r="F281" s="484"/>
      <c r="G281" s="484"/>
      <c r="H281" s="484"/>
      <c r="I281" s="484"/>
    </row>
    <row r="283" spans="2:9" ht="15">
      <c r="B283" s="486" t="s">
        <v>1125</v>
      </c>
      <c r="C283" s="486"/>
      <c r="D283" s="486"/>
      <c r="E283" s="486"/>
      <c r="F283" s="486"/>
      <c r="G283" s="486"/>
      <c r="H283" s="140" t="s">
        <v>930</v>
      </c>
      <c r="I283" s="146" t="s">
        <v>1126</v>
      </c>
    </row>
    <row r="284" spans="2:9">
      <c r="B284" s="488" t="s">
        <v>1127</v>
      </c>
      <c r="C284" s="488"/>
      <c r="D284" s="488"/>
      <c r="E284" s="488"/>
      <c r="F284" s="488"/>
      <c r="G284" s="488"/>
      <c r="H284" s="488"/>
      <c r="I284" s="488"/>
    </row>
    <row r="285" spans="2:9">
      <c r="B285" s="488"/>
      <c r="C285" s="488"/>
      <c r="D285" s="488"/>
      <c r="E285" s="488"/>
      <c r="F285" s="488"/>
      <c r="G285" s="488"/>
      <c r="H285" s="488"/>
      <c r="I285" s="488"/>
    </row>
    <row r="287" spans="2:9">
      <c r="B287" s="142" t="s">
        <v>1097</v>
      </c>
      <c r="C287" s="142" t="s">
        <v>26</v>
      </c>
      <c r="F287" s="142" t="s">
        <v>927</v>
      </c>
    </row>
    <row r="288" spans="2:9">
      <c r="B288" s="310" t="s">
        <v>1098</v>
      </c>
      <c r="C288" s="311">
        <v>450</v>
      </c>
      <c r="E288" s="304"/>
      <c r="F288" s="321"/>
    </row>
    <row r="289" spans="2:9">
      <c r="B289" s="312" t="s">
        <v>1098</v>
      </c>
      <c r="C289" s="313">
        <v>640</v>
      </c>
    </row>
    <row r="290" spans="2:9">
      <c r="B290" s="312" t="s">
        <v>1099</v>
      </c>
      <c r="C290" s="313">
        <v>180</v>
      </c>
    </row>
    <row r="291" spans="2:9">
      <c r="B291" s="312" t="s">
        <v>1098</v>
      </c>
      <c r="C291" s="313">
        <v>300</v>
      </c>
    </row>
    <row r="292" spans="2:9">
      <c r="B292" s="312" t="s">
        <v>1098</v>
      </c>
      <c r="C292" s="313">
        <v>250</v>
      </c>
    </row>
    <row r="293" spans="2:9">
      <c r="B293" s="312" t="s">
        <v>1098</v>
      </c>
      <c r="C293" s="313">
        <v>900</v>
      </c>
    </row>
    <row r="295" spans="2:9">
      <c r="H295" s="202" t="s">
        <v>909</v>
      </c>
      <c r="I295" s="203" t="str">
        <f>IF(F288="","À faire",IFERROR(IF(ABS(F288-250)&lt;0.0001,"✓ Correct","À revoir"),"À revoir"))</f>
        <v>À faire</v>
      </c>
    </row>
    <row r="298" spans="2:9" ht="15">
      <c r="B298" s="484" t="s">
        <v>253</v>
      </c>
      <c r="C298" s="484"/>
      <c r="D298" s="484"/>
      <c r="E298" s="484"/>
      <c r="F298" s="484"/>
      <c r="G298" s="484"/>
      <c r="H298" s="484"/>
      <c r="I298" s="484"/>
    </row>
    <row r="300" spans="2:9" ht="15">
      <c r="B300" s="486" t="s">
        <v>1128</v>
      </c>
      <c r="C300" s="486"/>
      <c r="D300" s="486"/>
      <c r="E300" s="486"/>
      <c r="F300" s="486"/>
      <c r="G300" s="486"/>
      <c r="H300" s="140" t="s">
        <v>947</v>
      </c>
      <c r="I300" s="146" t="s">
        <v>1126</v>
      </c>
    </row>
    <row r="301" spans="2:9">
      <c r="B301" s="488" t="s">
        <v>1129</v>
      </c>
      <c r="C301" s="488"/>
      <c r="D301" s="488"/>
      <c r="E301" s="488"/>
      <c r="F301" s="488"/>
      <c r="G301" s="488"/>
      <c r="H301" s="488"/>
      <c r="I301" s="488"/>
    </row>
    <row r="302" spans="2:9">
      <c r="B302" s="488"/>
      <c r="C302" s="488"/>
      <c r="D302" s="488"/>
      <c r="E302" s="488"/>
      <c r="F302" s="488"/>
      <c r="G302" s="488"/>
      <c r="H302" s="488"/>
      <c r="I302" s="488"/>
    </row>
    <row r="304" spans="2:9">
      <c r="B304" s="142" t="s">
        <v>1087</v>
      </c>
      <c r="C304" s="142" t="s">
        <v>1097</v>
      </c>
      <c r="D304" s="142" t="s">
        <v>26</v>
      </c>
      <c r="G304" s="142" t="s">
        <v>927</v>
      </c>
    </row>
    <row r="305" spans="2:9">
      <c r="B305" s="310" t="s">
        <v>964</v>
      </c>
      <c r="C305" s="144" t="s">
        <v>1098</v>
      </c>
      <c r="D305" s="311">
        <v>450</v>
      </c>
      <c r="F305" s="304"/>
      <c r="G305" s="321"/>
    </row>
    <row r="306" spans="2:9">
      <c r="B306" s="312" t="s">
        <v>1088</v>
      </c>
      <c r="C306" s="314" t="s">
        <v>1098</v>
      </c>
      <c r="D306" s="313">
        <v>640</v>
      </c>
    </row>
    <row r="307" spans="2:9">
      <c r="B307" s="312" t="s">
        <v>964</v>
      </c>
      <c r="C307" s="314" t="s">
        <v>1099</v>
      </c>
      <c r="D307" s="313">
        <v>180</v>
      </c>
    </row>
    <row r="308" spans="2:9">
      <c r="B308" s="312" t="s">
        <v>964</v>
      </c>
      <c r="C308" s="314" t="s">
        <v>1098</v>
      </c>
      <c r="D308" s="313">
        <v>300</v>
      </c>
    </row>
    <row r="309" spans="2:9">
      <c r="B309" s="312" t="s">
        <v>1089</v>
      </c>
      <c r="C309" s="314" t="s">
        <v>1098</v>
      </c>
      <c r="D309" s="313">
        <v>250</v>
      </c>
    </row>
    <row r="310" spans="2:9">
      <c r="B310" s="312" t="s">
        <v>964</v>
      </c>
      <c r="C310" s="314" t="s">
        <v>1098</v>
      </c>
      <c r="D310" s="313">
        <v>900</v>
      </c>
    </row>
    <row r="312" spans="2:9">
      <c r="H312" s="202" t="s">
        <v>909</v>
      </c>
      <c r="I312" s="203" t="str">
        <f>IF(G305="","À faire",IFERROR(IF(ABS(G305-900)&lt;0.0001,"✓ Correct","À revoir"),"À revoir"))</f>
        <v>À faire</v>
      </c>
    </row>
    <row r="315" spans="2:9" ht="15">
      <c r="B315" s="484" t="s">
        <v>1130</v>
      </c>
      <c r="C315" s="484"/>
      <c r="D315" s="484"/>
      <c r="E315" s="484"/>
      <c r="F315" s="484"/>
      <c r="G315" s="484"/>
      <c r="H315" s="484"/>
      <c r="I315" s="484"/>
    </row>
    <row r="317" spans="2:9" ht="15">
      <c r="B317" s="486" t="s">
        <v>1131</v>
      </c>
      <c r="C317" s="486"/>
      <c r="D317" s="486"/>
      <c r="E317" s="486"/>
      <c r="F317" s="486"/>
      <c r="G317" s="486"/>
      <c r="H317" s="140" t="s">
        <v>930</v>
      </c>
      <c r="I317" s="141" t="s">
        <v>902</v>
      </c>
    </row>
    <row r="318" spans="2:9">
      <c r="B318" s="488" t="s">
        <v>1132</v>
      </c>
      <c r="C318" s="488"/>
      <c r="D318" s="488"/>
      <c r="E318" s="488"/>
      <c r="F318" s="488"/>
      <c r="G318" s="488"/>
      <c r="H318" s="488"/>
      <c r="I318" s="488"/>
    </row>
    <row r="319" spans="2:9">
      <c r="B319" s="488"/>
      <c r="C319" s="488"/>
      <c r="D319" s="488"/>
      <c r="E319" s="488"/>
      <c r="F319" s="488"/>
      <c r="G319" s="488"/>
      <c r="H319" s="488"/>
      <c r="I319" s="488"/>
    </row>
    <row r="321" spans="2:9">
      <c r="B321" s="142" t="s">
        <v>26</v>
      </c>
      <c r="E321" s="142" t="s">
        <v>1133</v>
      </c>
      <c r="G321" s="142" t="s">
        <v>1134</v>
      </c>
    </row>
    <row r="322" spans="2:9">
      <c r="B322" s="145">
        <v>75</v>
      </c>
      <c r="D322" s="304"/>
      <c r="E322" s="321"/>
      <c r="F322" s="304"/>
      <c r="G322" s="321"/>
    </row>
    <row r="323" spans="2:9">
      <c r="B323" s="145">
        <v>430</v>
      </c>
    </row>
    <row r="324" spans="2:9">
      <c r="B324" s="145">
        <v>210</v>
      </c>
    </row>
    <row r="325" spans="2:9">
      <c r="B325" s="145">
        <v>980</v>
      </c>
    </row>
    <row r="326" spans="2:9">
      <c r="B326" s="145">
        <v>150</v>
      </c>
    </row>
    <row r="327" spans="2:9">
      <c r="B327" s="145">
        <v>620</v>
      </c>
    </row>
    <row r="329" spans="2:9">
      <c r="H329" s="202" t="s">
        <v>909</v>
      </c>
      <c r="I329" s="203" t="str">
        <f>IF(COUNTA(E322,G322)=0,"À faire",IFERROR(IF(AND(ABS(E322-75)&lt;0.0001,ABS(G322-980)&lt;0.0001),"✓ Correct","À revoir"),"À revoir"))</f>
        <v>À faire</v>
      </c>
    </row>
    <row r="332" spans="2:9" ht="15">
      <c r="B332" s="484" t="s">
        <v>259</v>
      </c>
      <c r="C332" s="484"/>
      <c r="D332" s="484"/>
      <c r="E332" s="484"/>
      <c r="F332" s="484"/>
      <c r="G332" s="484"/>
      <c r="H332" s="484"/>
      <c r="I332" s="484"/>
    </row>
    <row r="334" spans="2:9" ht="15">
      <c r="B334" s="486" t="s">
        <v>1135</v>
      </c>
      <c r="C334" s="486"/>
      <c r="D334" s="486"/>
      <c r="E334" s="486"/>
      <c r="F334" s="486"/>
      <c r="G334" s="486"/>
      <c r="H334" s="140" t="s">
        <v>930</v>
      </c>
      <c r="I334" s="141" t="s">
        <v>902</v>
      </c>
    </row>
    <row r="335" spans="2:9">
      <c r="B335" s="488" t="s">
        <v>1136</v>
      </c>
      <c r="C335" s="488"/>
      <c r="D335" s="488"/>
      <c r="E335" s="488"/>
      <c r="F335" s="488"/>
      <c r="G335" s="488"/>
      <c r="H335" s="488"/>
      <c r="I335" s="488"/>
    </row>
    <row r="336" spans="2:9">
      <c r="B336" s="488"/>
      <c r="C336" s="488"/>
      <c r="D336" s="488"/>
      <c r="E336" s="488"/>
      <c r="F336" s="488"/>
      <c r="G336" s="488"/>
      <c r="H336" s="488"/>
      <c r="I336" s="488"/>
    </row>
    <row r="338" spans="2:9">
      <c r="B338" s="142" t="s">
        <v>26</v>
      </c>
      <c r="E338" s="142" t="s">
        <v>927</v>
      </c>
    </row>
    <row r="339" spans="2:9">
      <c r="B339" s="145">
        <v>120</v>
      </c>
      <c r="D339" s="304"/>
      <c r="E339" s="321"/>
    </row>
    <row r="340" spans="2:9">
      <c r="B340" s="145">
        <v>350</v>
      </c>
    </row>
    <row r="341" spans="2:9">
      <c r="B341" s="145">
        <v>80</v>
      </c>
    </row>
    <row r="342" spans="2:9">
      <c r="B342" s="145">
        <v>210</v>
      </c>
    </row>
    <row r="343" spans="2:9">
      <c r="B343" s="145">
        <v>440</v>
      </c>
    </row>
    <row r="345" spans="2:9">
      <c r="H345" s="202" t="s">
        <v>909</v>
      </c>
      <c r="I345" s="203" t="str">
        <f>IF(E339="","À faire",IFERROR(IF(ABS(E339-1200)&lt;0.0001,"✓ Correct","À revoir"),"À revoir"))</f>
        <v>À faire</v>
      </c>
    </row>
    <row r="348" spans="2:9" ht="15">
      <c r="B348" s="486" t="s">
        <v>1137</v>
      </c>
      <c r="C348" s="486"/>
      <c r="D348" s="486"/>
      <c r="E348" s="486"/>
      <c r="F348" s="486"/>
      <c r="G348" s="486"/>
      <c r="H348" s="140" t="s">
        <v>930</v>
      </c>
      <c r="I348" s="141" t="s">
        <v>902</v>
      </c>
    </row>
    <row r="349" spans="2:9">
      <c r="B349" s="488" t="s">
        <v>1138</v>
      </c>
      <c r="C349" s="488"/>
      <c r="D349" s="488"/>
      <c r="E349" s="488"/>
      <c r="F349" s="488"/>
      <c r="G349" s="488"/>
      <c r="H349" s="488"/>
      <c r="I349" s="488"/>
    </row>
    <row r="350" spans="2:9">
      <c r="B350" s="488"/>
      <c r="C350" s="488"/>
      <c r="D350" s="488"/>
      <c r="E350" s="488"/>
      <c r="F350" s="488"/>
      <c r="G350" s="488"/>
      <c r="H350" s="488"/>
      <c r="I350" s="488"/>
    </row>
    <row r="352" spans="2:9">
      <c r="B352" s="142" t="s">
        <v>26</v>
      </c>
      <c r="E352" s="142" t="s">
        <v>927</v>
      </c>
    </row>
    <row r="353" spans="2:9">
      <c r="B353" s="145">
        <v>90</v>
      </c>
      <c r="D353" s="304"/>
      <c r="E353" s="321"/>
    </row>
    <row r="354" spans="2:9">
      <c r="B354" s="145">
        <v>240</v>
      </c>
    </row>
    <row r="355" spans="2:9">
      <c r="B355" s="145">
        <v>160</v>
      </c>
    </row>
    <row r="356" spans="2:9">
      <c r="B356" s="145">
        <v>310</v>
      </c>
    </row>
    <row r="357" spans="2:9">
      <c r="B357" s="145">
        <v>200</v>
      </c>
    </row>
    <row r="359" spans="2:9">
      <c r="H359" s="202" t="s">
        <v>909</v>
      </c>
      <c r="I359" s="203" t="str">
        <f>IF(E353="","À faire",IFERROR(IF(ABS(E353-1000)&lt;0.0001,"✓ Correct","À revoir"),"À revoir"))</f>
        <v>À faire</v>
      </c>
    </row>
    <row r="362" spans="2:9" ht="15">
      <c r="B362" s="486" t="s">
        <v>1139</v>
      </c>
      <c r="C362" s="486"/>
      <c r="D362" s="486"/>
      <c r="E362" s="486"/>
      <c r="F362" s="486"/>
      <c r="G362" s="486"/>
      <c r="H362" s="140" t="s">
        <v>930</v>
      </c>
      <c r="I362" s="141" t="s">
        <v>902</v>
      </c>
    </row>
    <row r="363" spans="2:9">
      <c r="B363" s="488" t="s">
        <v>1140</v>
      </c>
      <c r="C363" s="488"/>
      <c r="D363" s="488"/>
      <c r="E363" s="488"/>
      <c r="F363" s="488"/>
      <c r="G363" s="488"/>
      <c r="H363" s="488"/>
      <c r="I363" s="488"/>
    </row>
    <row r="364" spans="2:9">
      <c r="B364" s="488"/>
      <c r="C364" s="488"/>
      <c r="D364" s="488"/>
      <c r="E364" s="488"/>
      <c r="F364" s="488"/>
      <c r="G364" s="488"/>
      <c r="H364" s="488"/>
      <c r="I364" s="488"/>
    </row>
    <row r="365" spans="2:9">
      <c r="B365" s="488"/>
      <c r="C365" s="488"/>
      <c r="D365" s="488"/>
      <c r="E365" s="488"/>
      <c r="F365" s="488"/>
      <c r="G365" s="488"/>
      <c r="H365" s="488"/>
      <c r="I365" s="488"/>
    </row>
    <row r="367" spans="2:9">
      <c r="B367" s="154" t="s">
        <v>1087</v>
      </c>
      <c r="C367" s="158" t="s">
        <v>1097</v>
      </c>
      <c r="D367" s="155" t="s">
        <v>26</v>
      </c>
      <c r="F367" s="142" t="s">
        <v>1141</v>
      </c>
      <c r="H367" s="142" t="s">
        <v>1142</v>
      </c>
    </row>
    <row r="368" spans="2:9">
      <c r="B368" s="150" t="s">
        <v>964</v>
      </c>
      <c r="C368" s="156" t="s">
        <v>1098</v>
      </c>
      <c r="D368" s="151">
        <v>120</v>
      </c>
      <c r="F368" s="147">
        <f>SUBTOTAL(9,D368:D372)</f>
        <v>1200</v>
      </c>
      <c r="H368" s="147">
        <f>SUBTOTAL(109,D368:D372)</f>
        <v>1200</v>
      </c>
    </row>
    <row r="369" spans="2:9">
      <c r="B369" s="150" t="s">
        <v>1088</v>
      </c>
      <c r="C369" s="156" t="s">
        <v>1099</v>
      </c>
      <c r="D369" s="151">
        <v>350</v>
      </c>
    </row>
    <row r="370" spans="2:9">
      <c r="B370" s="150" t="s">
        <v>964</v>
      </c>
      <c r="C370" s="156" t="s">
        <v>1098</v>
      </c>
      <c r="D370" s="151">
        <v>80</v>
      </c>
    </row>
    <row r="371" spans="2:9">
      <c r="B371" s="150" t="s">
        <v>1089</v>
      </c>
      <c r="C371" s="156" t="s">
        <v>1098</v>
      </c>
      <c r="D371" s="151">
        <v>210</v>
      </c>
    </row>
    <row r="372" spans="2:9">
      <c r="B372" s="152" t="s">
        <v>1088</v>
      </c>
      <c r="C372" s="157" t="s">
        <v>1098</v>
      </c>
      <c r="D372" s="153">
        <v>440</v>
      </c>
    </row>
    <row r="375" spans="2:9">
      <c r="B375" s="488" t="s">
        <v>1143</v>
      </c>
      <c r="C375" s="488"/>
      <c r="D375" s="488"/>
      <c r="E375" s="488"/>
      <c r="F375" s="488"/>
      <c r="G375" s="488"/>
      <c r="H375" s="488"/>
      <c r="I375" s="488"/>
    </row>
    <row r="376" spans="2:9">
      <c r="B376" s="488"/>
      <c r="C376" s="488"/>
      <c r="D376" s="488"/>
      <c r="E376" s="488"/>
      <c r="F376" s="488"/>
      <c r="G376" s="488"/>
      <c r="H376" s="488"/>
      <c r="I376" s="488"/>
    </row>
    <row r="377" spans="2:9">
      <c r="B377" s="488"/>
      <c r="C377" s="488"/>
      <c r="D377" s="488"/>
      <c r="E377" s="488"/>
      <c r="F377" s="488"/>
      <c r="G377" s="488"/>
      <c r="H377" s="488"/>
      <c r="I377" s="488"/>
    </row>
    <row r="378" spans="2:9">
      <c r="B378" s="488"/>
      <c r="C378" s="488"/>
      <c r="D378" s="488"/>
      <c r="E378" s="488"/>
      <c r="F378" s="488"/>
      <c r="G378" s="488"/>
      <c r="H378" s="488"/>
      <c r="I378" s="488"/>
    </row>
    <row r="379" spans="2:9">
      <c r="B379" s="488"/>
      <c r="C379" s="488"/>
      <c r="D379" s="488"/>
      <c r="E379" s="488"/>
      <c r="F379" s="488"/>
      <c r="G379" s="488"/>
      <c r="H379" s="488"/>
      <c r="I379" s="488"/>
    </row>
    <row r="382" spans="2:9">
      <c r="B382" s="142" t="s">
        <v>1144</v>
      </c>
      <c r="C382" s="142" t="s">
        <v>1141</v>
      </c>
      <c r="D382" s="142" t="s">
        <v>1142</v>
      </c>
    </row>
    <row r="383" spans="2:9">
      <c r="B383" s="312" t="s">
        <v>1145</v>
      </c>
      <c r="C383" s="478"/>
      <c r="D383" s="477"/>
    </row>
    <row r="384" spans="2:9">
      <c r="B384" s="312" t="s">
        <v>1146</v>
      </c>
      <c r="C384" s="478"/>
      <c r="D384" s="477"/>
    </row>
    <row r="386" spans="2:9">
      <c r="B386" s="489" t="s">
        <v>1147</v>
      </c>
      <c r="C386" s="489"/>
      <c r="D386" s="489"/>
      <c r="E386" s="489"/>
      <c r="F386" s="489"/>
      <c r="G386" s="489"/>
      <c r="H386" s="489"/>
      <c r="I386" s="489"/>
    </row>
    <row r="387" spans="2:9">
      <c r="B387" s="489"/>
      <c r="C387" s="489"/>
      <c r="D387" s="489"/>
      <c r="E387" s="489"/>
      <c r="F387" s="489"/>
      <c r="G387" s="489"/>
      <c r="H387" s="489"/>
      <c r="I387" s="489"/>
    </row>
    <row r="388" spans="2:9">
      <c r="B388" s="489"/>
      <c r="C388" s="489"/>
      <c r="D388" s="489"/>
      <c r="E388" s="489"/>
      <c r="F388" s="489"/>
      <c r="G388" s="489"/>
      <c r="H388" s="489"/>
      <c r="I388" s="489"/>
    </row>
    <row r="390" spans="2:9">
      <c r="H390" s="202" t="s">
        <v>909</v>
      </c>
      <c r="I390" s="203" t="str">
        <f>IF(COUNTA(C383,D383,C384,D384)=0,"À faire",IFERROR(IF(AND(ABS(C383-850)&lt;0.0001,ABS(D383-850)&lt;0.0001,ABS(C384-1200)&lt;0.0001,ABS(D384-990)&lt;0.0001),"✓ Correct","À revoir"),"À revoir"))</f>
        <v>À faire</v>
      </c>
    </row>
    <row r="393" spans="2:9" ht="15">
      <c r="B393" s="486" t="s">
        <v>1148</v>
      </c>
      <c r="C393" s="486"/>
      <c r="D393" s="486"/>
      <c r="E393" s="486"/>
      <c r="F393" s="486"/>
      <c r="G393" s="486"/>
      <c r="H393" s="140" t="s">
        <v>947</v>
      </c>
      <c r="I393" s="141" t="s">
        <v>902</v>
      </c>
    </row>
    <row r="394" spans="2:9">
      <c r="B394" s="488" t="s">
        <v>1149</v>
      </c>
      <c r="C394" s="488"/>
      <c r="D394" s="488"/>
      <c r="E394" s="488"/>
      <c r="F394" s="488"/>
      <c r="G394" s="488"/>
      <c r="H394" s="488"/>
      <c r="I394" s="488"/>
    </row>
    <row r="395" spans="2:9">
      <c r="B395" s="488"/>
      <c r="C395" s="488"/>
      <c r="D395" s="488"/>
      <c r="E395" s="488"/>
      <c r="F395" s="488"/>
      <c r="G395" s="488"/>
      <c r="H395" s="488"/>
      <c r="I395" s="488"/>
    </row>
    <row r="397" spans="2:9">
      <c r="B397" s="142" t="s">
        <v>26</v>
      </c>
      <c r="E397" s="142" t="s">
        <v>927</v>
      </c>
    </row>
    <row r="398" spans="2:9">
      <c r="B398" s="145">
        <v>100</v>
      </c>
      <c r="D398" s="304"/>
      <c r="E398" s="321"/>
    </row>
    <row r="399" spans="2:9">
      <c r="B399" s="145">
        <v>150</v>
      </c>
    </row>
    <row r="400" spans="2:9">
      <c r="B400" s="145">
        <v>200</v>
      </c>
    </row>
    <row r="401" spans="2:9">
      <c r="B401" s="145">
        <v>250</v>
      </c>
    </row>
    <row r="402" spans="2:9">
      <c r="B402" s="145">
        <v>300</v>
      </c>
    </row>
    <row r="403" spans="2:9">
      <c r="B403" s="148">
        <f>SUBTOTAL(9,B398:B402)</f>
        <v>1000</v>
      </c>
    </row>
    <row r="405" spans="2:9">
      <c r="H405" s="202" t="s">
        <v>909</v>
      </c>
      <c r="I405" s="203" t="str">
        <f>IF(E398="","À faire",IFERROR(IF(ABS(E398-1000)&lt;0.0001,"✓ Correct","À revoir"),"À revoir"))</f>
        <v>À faire</v>
      </c>
    </row>
    <row r="408" spans="2:9" ht="15">
      <c r="B408" s="484" t="s">
        <v>264</v>
      </c>
      <c r="C408" s="484"/>
      <c r="D408" s="484"/>
      <c r="E408" s="484"/>
      <c r="F408" s="484"/>
      <c r="G408" s="484"/>
      <c r="H408" s="484"/>
      <c r="I408" s="484"/>
    </row>
    <row r="410" spans="2:9" ht="15">
      <c r="B410" s="486" t="s">
        <v>1150</v>
      </c>
      <c r="C410" s="486"/>
      <c r="D410" s="486"/>
      <c r="E410" s="486"/>
      <c r="F410" s="486"/>
      <c r="G410" s="486"/>
      <c r="H410" s="140" t="s">
        <v>930</v>
      </c>
      <c r="I410" s="141" t="s">
        <v>902</v>
      </c>
    </row>
    <row r="411" spans="2:9">
      <c r="B411" s="488" t="s">
        <v>1151</v>
      </c>
      <c r="C411" s="488"/>
      <c r="D411" s="488"/>
      <c r="E411" s="488"/>
      <c r="F411" s="488"/>
      <c r="G411" s="488"/>
      <c r="H411" s="488"/>
      <c r="I411" s="488"/>
    </row>
    <row r="412" spans="2:9">
      <c r="B412" s="488"/>
      <c r="C412" s="488"/>
      <c r="D412" s="488"/>
      <c r="E412" s="488"/>
      <c r="F412" s="488"/>
      <c r="G412" s="488"/>
      <c r="H412" s="488"/>
      <c r="I412" s="488"/>
    </row>
    <row r="414" spans="2:9">
      <c r="B414" s="142" t="s">
        <v>932</v>
      </c>
      <c r="C414" s="142" t="s">
        <v>933</v>
      </c>
      <c r="F414" s="142" t="s">
        <v>927</v>
      </c>
    </row>
    <row r="415" spans="2:9">
      <c r="B415" s="310">
        <v>2</v>
      </c>
      <c r="C415" s="311">
        <v>40</v>
      </c>
      <c r="E415" s="304"/>
      <c r="F415" s="321"/>
    </row>
    <row r="416" spans="2:9">
      <c r="B416" s="312">
        <v>3</v>
      </c>
      <c r="C416" s="313">
        <v>25</v>
      </c>
    </row>
    <row r="417" spans="2:9">
      <c r="B417" s="312">
        <v>1</v>
      </c>
      <c r="C417" s="313">
        <v>120</v>
      </c>
    </row>
    <row r="418" spans="2:9">
      <c r="B418" s="312">
        <v>4</v>
      </c>
      <c r="C418" s="313">
        <v>15</v>
      </c>
    </row>
    <row r="420" spans="2:9">
      <c r="H420" s="202" t="s">
        <v>909</v>
      </c>
      <c r="I420" s="203" t="str">
        <f>IF(F415="","À faire",IFERROR(IF(ABS(F415-335)&lt;0.0001,"✓ Correct","À revoir"),"À revoir"))</f>
        <v>À faire</v>
      </c>
    </row>
    <row r="423" spans="2:9" ht="15">
      <c r="B423" s="486" t="s">
        <v>1152</v>
      </c>
      <c r="C423" s="486"/>
      <c r="D423" s="486"/>
      <c r="E423" s="486"/>
      <c r="F423" s="486"/>
      <c r="G423" s="486"/>
      <c r="H423" s="140" t="s">
        <v>947</v>
      </c>
      <c r="I423" s="141" t="s">
        <v>902</v>
      </c>
    </row>
    <row r="424" spans="2:9">
      <c r="B424" s="488" t="s">
        <v>1153</v>
      </c>
      <c r="C424" s="488"/>
      <c r="D424" s="488"/>
      <c r="E424" s="488"/>
      <c r="F424" s="488"/>
      <c r="G424" s="488"/>
      <c r="H424" s="488"/>
      <c r="I424" s="488"/>
    </row>
    <row r="425" spans="2:9">
      <c r="B425" s="488"/>
      <c r="C425" s="488"/>
      <c r="D425" s="488"/>
      <c r="E425" s="488"/>
      <c r="F425" s="488"/>
      <c r="G425" s="488"/>
      <c r="H425" s="488"/>
      <c r="I425" s="488"/>
    </row>
    <row r="427" spans="2:9">
      <c r="B427" s="142" t="s">
        <v>1087</v>
      </c>
      <c r="C427" s="142" t="s">
        <v>932</v>
      </c>
      <c r="D427" s="142" t="s">
        <v>933</v>
      </c>
      <c r="G427" s="142" t="s">
        <v>927</v>
      </c>
    </row>
    <row r="428" spans="2:9">
      <c r="B428" s="310" t="s">
        <v>964</v>
      </c>
      <c r="C428" s="144">
        <v>2</v>
      </c>
      <c r="D428" s="311">
        <v>50</v>
      </c>
      <c r="F428" s="304"/>
      <c r="G428" s="321"/>
    </row>
    <row r="429" spans="2:9">
      <c r="B429" s="312" t="s">
        <v>1088</v>
      </c>
      <c r="C429" s="314">
        <v>3</v>
      </c>
      <c r="D429" s="313">
        <v>40</v>
      </c>
    </row>
    <row r="430" spans="2:9">
      <c r="B430" s="312" t="s">
        <v>964</v>
      </c>
      <c r="C430" s="314">
        <v>1</v>
      </c>
      <c r="D430" s="313">
        <v>180</v>
      </c>
    </row>
    <row r="431" spans="2:9">
      <c r="B431" s="312" t="s">
        <v>1089</v>
      </c>
      <c r="C431" s="314">
        <v>4</v>
      </c>
      <c r="D431" s="313">
        <v>20</v>
      </c>
    </row>
    <row r="432" spans="2:9">
      <c r="B432" s="312" t="s">
        <v>964</v>
      </c>
      <c r="C432" s="314">
        <v>2</v>
      </c>
      <c r="D432" s="313">
        <v>75</v>
      </c>
    </row>
    <row r="434" spans="2:9">
      <c r="H434" s="202" t="s">
        <v>909</v>
      </c>
      <c r="I434" s="203" t="str">
        <f>IF(G428="","À faire",IFERROR(IF(ABS(G428-430)&lt;0.0001,"✓ Correct","À revoir"),"À revoir"))</f>
        <v>À faire</v>
      </c>
    </row>
    <row r="437" spans="2:9" ht="15">
      <c r="B437" s="486" t="s">
        <v>1154</v>
      </c>
      <c r="C437" s="486"/>
      <c r="D437" s="486"/>
      <c r="E437" s="486"/>
      <c r="F437" s="486"/>
      <c r="G437" s="486"/>
      <c r="H437" s="140" t="s">
        <v>947</v>
      </c>
      <c r="I437" s="141" t="s">
        <v>902</v>
      </c>
    </row>
    <row r="438" spans="2:9">
      <c r="B438" s="488" t="s">
        <v>1155</v>
      </c>
      <c r="C438" s="488"/>
      <c r="D438" s="488"/>
      <c r="E438" s="488"/>
      <c r="F438" s="488"/>
      <c r="G438" s="488"/>
      <c r="H438" s="488"/>
      <c r="I438" s="488"/>
    </row>
    <row r="439" spans="2:9">
      <c r="B439" s="488"/>
      <c r="C439" s="488"/>
      <c r="D439" s="488"/>
      <c r="E439" s="488"/>
      <c r="F439" s="488"/>
      <c r="G439" s="488"/>
      <c r="H439" s="488"/>
      <c r="I439" s="488"/>
    </row>
    <row r="441" spans="2:9">
      <c r="B441" s="142" t="s">
        <v>1087</v>
      </c>
      <c r="C441" s="142" t="s">
        <v>1097</v>
      </c>
      <c r="D441" s="142" t="s">
        <v>932</v>
      </c>
      <c r="E441" s="142" t="s">
        <v>933</v>
      </c>
      <c r="H441" s="142" t="s">
        <v>927</v>
      </c>
    </row>
    <row r="442" spans="2:9">
      <c r="B442" s="310" t="s">
        <v>964</v>
      </c>
      <c r="C442" s="144" t="s">
        <v>1098</v>
      </c>
      <c r="D442" s="144">
        <v>3</v>
      </c>
      <c r="E442" s="311">
        <v>150</v>
      </c>
      <c r="G442" s="304"/>
      <c r="H442" s="321"/>
    </row>
    <row r="443" spans="2:9">
      <c r="B443" s="312" t="s">
        <v>1088</v>
      </c>
      <c r="C443" s="314" t="s">
        <v>1098</v>
      </c>
      <c r="D443" s="314">
        <v>4</v>
      </c>
      <c r="E443" s="313">
        <v>160</v>
      </c>
    </row>
    <row r="444" spans="2:9">
      <c r="B444" s="312" t="s">
        <v>964</v>
      </c>
      <c r="C444" s="314" t="s">
        <v>1099</v>
      </c>
      <c r="D444" s="314">
        <v>1</v>
      </c>
      <c r="E444" s="313">
        <v>180</v>
      </c>
    </row>
    <row r="445" spans="2:9">
      <c r="B445" s="312" t="s">
        <v>964</v>
      </c>
      <c r="C445" s="314" t="s">
        <v>1098</v>
      </c>
      <c r="D445" s="314">
        <v>2</v>
      </c>
      <c r="E445" s="313">
        <v>300</v>
      </c>
    </row>
    <row r="446" spans="2:9">
      <c r="B446" s="312" t="s">
        <v>1089</v>
      </c>
      <c r="C446" s="314" t="s">
        <v>1098</v>
      </c>
      <c r="D446" s="314">
        <v>1</v>
      </c>
      <c r="E446" s="313">
        <v>250</v>
      </c>
    </row>
    <row r="447" spans="2:9">
      <c r="B447" s="312" t="s">
        <v>964</v>
      </c>
      <c r="C447" s="314" t="s">
        <v>1098</v>
      </c>
      <c r="D447" s="314">
        <v>2</v>
      </c>
      <c r="E447" s="313">
        <v>300</v>
      </c>
    </row>
    <row r="449" spans="2:9">
      <c r="H449" s="202" t="s">
        <v>909</v>
      </c>
      <c r="I449" s="203" t="str">
        <f>IF(H442="","À faire",IFERROR(IF(ABS(H442-1650)&lt;0.0001,"✓ Correct","À revoir"),"À revoir"))</f>
        <v>À faire</v>
      </c>
    </row>
    <row r="452" spans="2:9" ht="15">
      <c r="B452" s="484" t="s">
        <v>270</v>
      </c>
      <c r="C452" s="484"/>
      <c r="D452" s="484"/>
      <c r="E452" s="484"/>
      <c r="F452" s="484"/>
      <c r="G452" s="484"/>
      <c r="H452" s="484"/>
      <c r="I452" s="484"/>
    </row>
    <row r="454" spans="2:9" ht="15">
      <c r="B454" s="486" t="s">
        <v>1156</v>
      </c>
      <c r="C454" s="486"/>
      <c r="D454" s="486"/>
      <c r="E454" s="486"/>
      <c r="F454" s="486"/>
      <c r="G454" s="486"/>
      <c r="H454" s="140" t="s">
        <v>947</v>
      </c>
      <c r="I454" s="141" t="s">
        <v>902</v>
      </c>
    </row>
    <row r="455" spans="2:9">
      <c r="B455" s="488" t="s">
        <v>1157</v>
      </c>
      <c r="C455" s="488"/>
      <c r="D455" s="488"/>
      <c r="E455" s="488"/>
      <c r="F455" s="488"/>
      <c r="G455" s="488"/>
      <c r="H455" s="488"/>
      <c r="I455" s="488"/>
    </row>
    <row r="456" spans="2:9">
      <c r="B456" s="488"/>
      <c r="C456" s="488"/>
      <c r="D456" s="488"/>
      <c r="E456" s="488"/>
      <c r="F456" s="488"/>
      <c r="G456" s="488"/>
      <c r="H456" s="488"/>
      <c r="I456" s="488"/>
    </row>
    <row r="458" spans="2:9">
      <c r="B458" s="142" t="s">
        <v>1087</v>
      </c>
      <c r="C458" s="142" t="s">
        <v>1097</v>
      </c>
      <c r="D458" s="142" t="s">
        <v>26</v>
      </c>
      <c r="F458" s="142" t="s">
        <v>1158</v>
      </c>
      <c r="G458" s="142" t="s">
        <v>1159</v>
      </c>
      <c r="H458" s="142" t="s">
        <v>1133</v>
      </c>
      <c r="I458" s="142" t="s">
        <v>1134</v>
      </c>
    </row>
    <row r="459" spans="2:9">
      <c r="B459" s="310" t="s">
        <v>964</v>
      </c>
      <c r="C459" s="144" t="s">
        <v>1098</v>
      </c>
      <c r="D459" s="311">
        <v>450</v>
      </c>
      <c r="E459" s="304"/>
      <c r="F459" s="478"/>
      <c r="G459" s="479"/>
      <c r="H459" s="480"/>
      <c r="I459" s="477"/>
    </row>
    <row r="460" spans="2:9">
      <c r="B460" s="312" t="s">
        <v>1088</v>
      </c>
      <c r="C460" s="314" t="s">
        <v>1098</v>
      </c>
      <c r="D460" s="313">
        <v>640</v>
      </c>
    </row>
    <row r="461" spans="2:9">
      <c r="B461" s="312" t="s">
        <v>964</v>
      </c>
      <c r="C461" s="314" t="s">
        <v>1099</v>
      </c>
      <c r="D461" s="313">
        <v>180</v>
      </c>
    </row>
    <row r="462" spans="2:9">
      <c r="B462" s="312" t="s">
        <v>964</v>
      </c>
      <c r="C462" s="314" t="s">
        <v>1098</v>
      </c>
      <c r="D462" s="313">
        <v>300</v>
      </c>
    </row>
    <row r="463" spans="2:9">
      <c r="B463" s="312" t="s">
        <v>1089</v>
      </c>
      <c r="C463" s="314" t="s">
        <v>1098</v>
      </c>
      <c r="D463" s="313">
        <v>250</v>
      </c>
    </row>
    <row r="464" spans="2:9">
      <c r="B464" s="312" t="s">
        <v>964</v>
      </c>
      <c r="C464" s="314" t="s">
        <v>1098</v>
      </c>
      <c r="D464" s="313">
        <v>900</v>
      </c>
    </row>
    <row r="466" spans="2:9">
      <c r="H466" s="202" t="s">
        <v>909</v>
      </c>
      <c r="I466" s="203" t="str">
        <f>IF(COUNTA(F459,G459,H459,I459)=0,"À faire",IFERROR(IF(AND(ABS(F459-2540)&lt;0.0001,ABS(G459-4)&lt;0.0001,ABS(H459-180)&lt;0.0001,ABS(I459-900)&lt;0.0001),"✓ Correct","À revoir"),"À revoir"))</f>
        <v>À faire</v>
      </c>
    </row>
    <row r="469" spans="2:9" ht="15">
      <c r="B469" s="486" t="s">
        <v>1160</v>
      </c>
      <c r="C469" s="486"/>
      <c r="D469" s="486"/>
      <c r="E469" s="486"/>
      <c r="F469" s="486"/>
      <c r="G469" s="486"/>
      <c r="H469" s="140" t="s">
        <v>947</v>
      </c>
      <c r="I469" s="141" t="s">
        <v>902</v>
      </c>
    </row>
    <row r="470" spans="2:9">
      <c r="B470" s="488" t="s">
        <v>1161</v>
      </c>
      <c r="C470" s="488"/>
      <c r="D470" s="488"/>
      <c r="E470" s="488"/>
      <c r="F470" s="488"/>
      <c r="G470" s="488"/>
      <c r="H470" s="488"/>
      <c r="I470" s="488"/>
    </row>
    <row r="471" spans="2:9">
      <c r="B471" s="488"/>
      <c r="C471" s="488"/>
      <c r="D471" s="488"/>
      <c r="E471" s="488"/>
      <c r="F471" s="488"/>
      <c r="G471" s="488"/>
      <c r="H471" s="488"/>
      <c r="I471" s="488"/>
    </row>
    <row r="473" spans="2:9">
      <c r="B473" s="142" t="s">
        <v>1087</v>
      </c>
      <c r="C473" s="142" t="s">
        <v>1097</v>
      </c>
      <c r="D473" s="142" t="s">
        <v>932</v>
      </c>
      <c r="E473" s="142" t="s">
        <v>933</v>
      </c>
      <c r="F473" s="142" t="s">
        <v>26</v>
      </c>
      <c r="H473" s="142" t="s">
        <v>191</v>
      </c>
      <c r="I473" s="142" t="s">
        <v>264</v>
      </c>
    </row>
    <row r="474" spans="2:9">
      <c r="B474" s="310" t="s">
        <v>964</v>
      </c>
      <c r="C474" s="144" t="s">
        <v>1098</v>
      </c>
      <c r="D474" s="144">
        <v>3</v>
      </c>
      <c r="E474" s="149">
        <v>150</v>
      </c>
      <c r="F474" s="311">
        <v>450</v>
      </c>
      <c r="G474" s="304"/>
      <c r="H474" s="478"/>
      <c r="I474" s="477"/>
    </row>
    <row r="475" spans="2:9">
      <c r="B475" s="312" t="s">
        <v>1088</v>
      </c>
      <c r="C475" s="314" t="s">
        <v>1098</v>
      </c>
      <c r="D475" s="314">
        <v>4</v>
      </c>
      <c r="E475" s="319">
        <v>160</v>
      </c>
      <c r="F475" s="313">
        <v>640</v>
      </c>
    </row>
    <row r="476" spans="2:9">
      <c r="B476" s="312" t="s">
        <v>964</v>
      </c>
      <c r="C476" s="314" t="s">
        <v>1099</v>
      </c>
      <c r="D476" s="314">
        <v>1</v>
      </c>
      <c r="E476" s="319">
        <v>180</v>
      </c>
      <c r="F476" s="313">
        <v>180</v>
      </c>
    </row>
    <row r="477" spans="2:9">
      <c r="B477" s="312" t="s">
        <v>964</v>
      </c>
      <c r="C477" s="314" t="s">
        <v>1098</v>
      </c>
      <c r="D477" s="314">
        <v>2</v>
      </c>
      <c r="E477" s="319">
        <v>300</v>
      </c>
      <c r="F477" s="313">
        <v>600</v>
      </c>
    </row>
    <row r="478" spans="2:9">
      <c r="B478" s="312" t="s">
        <v>1089</v>
      </c>
      <c r="C478" s="314" t="s">
        <v>1098</v>
      </c>
      <c r="D478" s="314">
        <v>1</v>
      </c>
      <c r="E478" s="319">
        <v>250</v>
      </c>
      <c r="F478" s="313">
        <v>250</v>
      </c>
    </row>
    <row r="479" spans="2:9">
      <c r="B479" s="312" t="s">
        <v>964</v>
      </c>
      <c r="C479" s="314" t="s">
        <v>1098</v>
      </c>
      <c r="D479" s="314">
        <v>2</v>
      </c>
      <c r="E479" s="319">
        <v>300</v>
      </c>
      <c r="F479" s="313">
        <v>600</v>
      </c>
    </row>
    <row r="481" spans="8:9">
      <c r="H481" s="202" t="s">
        <v>909</v>
      </c>
      <c r="I481" s="203" t="str">
        <f>IF(COUNTA(H474,I474)=0,"À faire",IFERROR(IF(AND(ABS(H474-1650)&lt;0.0001,ABS(I474-1650)&lt;0.0001),"✓ Correct","À revoir"),"À revoir"))</f>
        <v>À faire</v>
      </c>
    </row>
  </sheetData>
  <sheetProtection sheet="1" objects="1" scenarios="1" formatRows="0" autoFilter="0"/>
  <mergeCells count="79">
    <mergeCell ref="B454:G454"/>
    <mergeCell ref="B455:I456"/>
    <mergeCell ref="B469:G469"/>
    <mergeCell ref="B470:I471"/>
    <mergeCell ref="B423:G423"/>
    <mergeCell ref="B424:I425"/>
    <mergeCell ref="B437:G437"/>
    <mergeCell ref="B438:I439"/>
    <mergeCell ref="B452:I452"/>
    <mergeCell ref="B393:G393"/>
    <mergeCell ref="B394:I395"/>
    <mergeCell ref="B408:I408"/>
    <mergeCell ref="B410:G410"/>
    <mergeCell ref="B411:I412"/>
    <mergeCell ref="B349:I350"/>
    <mergeCell ref="B362:G362"/>
    <mergeCell ref="B363:I365"/>
    <mergeCell ref="B375:I379"/>
    <mergeCell ref="B386:I388"/>
    <mergeCell ref="B318:I319"/>
    <mergeCell ref="B332:I332"/>
    <mergeCell ref="B334:G334"/>
    <mergeCell ref="B335:I336"/>
    <mergeCell ref="B348:G348"/>
    <mergeCell ref="B298:I298"/>
    <mergeCell ref="B300:G300"/>
    <mergeCell ref="B301:I302"/>
    <mergeCell ref="B315:I315"/>
    <mergeCell ref="B317:G317"/>
    <mergeCell ref="B267:G267"/>
    <mergeCell ref="B268:I269"/>
    <mergeCell ref="B281:I281"/>
    <mergeCell ref="B283:G283"/>
    <mergeCell ref="B284:I285"/>
    <mergeCell ref="B235:I236"/>
    <mergeCell ref="B249:I249"/>
    <mergeCell ref="B251:G251"/>
    <mergeCell ref="B252:I253"/>
    <mergeCell ref="B265:I265"/>
    <mergeCell ref="B204:I205"/>
    <mergeCell ref="B218:G218"/>
    <mergeCell ref="B219:I220"/>
    <mergeCell ref="B232:I232"/>
    <mergeCell ref="B234:G234"/>
    <mergeCell ref="B185:I185"/>
    <mergeCell ref="B187:G187"/>
    <mergeCell ref="B188:I189"/>
    <mergeCell ref="B201:I201"/>
    <mergeCell ref="B203:G203"/>
    <mergeCell ref="B154:G154"/>
    <mergeCell ref="B155:I156"/>
    <mergeCell ref="B168:I168"/>
    <mergeCell ref="B170:G170"/>
    <mergeCell ref="B171:I172"/>
    <mergeCell ref="B123:I124"/>
    <mergeCell ref="B136:I136"/>
    <mergeCell ref="B138:G138"/>
    <mergeCell ref="B139:I140"/>
    <mergeCell ref="B152:I152"/>
    <mergeCell ref="B103:I103"/>
    <mergeCell ref="B105:G105"/>
    <mergeCell ref="B106:I107"/>
    <mergeCell ref="B120:I120"/>
    <mergeCell ref="B122:G122"/>
    <mergeCell ref="B62:I63"/>
    <mergeCell ref="B75:G75"/>
    <mergeCell ref="B76:I77"/>
    <mergeCell ref="B89:G89"/>
    <mergeCell ref="B90:I91"/>
    <mergeCell ref="B35:I36"/>
    <mergeCell ref="B46:G46"/>
    <mergeCell ref="B47:I48"/>
    <mergeCell ref="B59:I59"/>
    <mergeCell ref="B61:G61"/>
    <mergeCell ref="B16:I16"/>
    <mergeCell ref="B18:I18"/>
    <mergeCell ref="B20:G20"/>
    <mergeCell ref="B21:I22"/>
    <mergeCell ref="B34:G34"/>
  </mergeCells>
  <conditionalFormatting sqref="I31">
    <cfRule type="expression" dxfId="635" priority="1">
      <formula>I31="✓ Correct"</formula>
    </cfRule>
    <cfRule type="expression" dxfId="634" priority="2">
      <formula>I31="À revoir"</formula>
    </cfRule>
    <cfRule type="expression" dxfId="633" priority="3">
      <formula>I31="À faire"</formula>
    </cfRule>
  </conditionalFormatting>
  <conditionalFormatting sqref="I43">
    <cfRule type="expression" dxfId="632" priority="4">
      <formula>I43="✓ Correct"</formula>
    </cfRule>
    <cfRule type="expression" dxfId="631" priority="5">
      <formula>I43="À revoir"</formula>
    </cfRule>
    <cfRule type="expression" dxfId="630" priority="6">
      <formula>I43="À faire"</formula>
    </cfRule>
  </conditionalFormatting>
  <conditionalFormatting sqref="I56">
    <cfRule type="expression" dxfId="629" priority="7">
      <formula>I56="✓ Correct"</formula>
    </cfRule>
    <cfRule type="expression" dxfId="628" priority="8">
      <formula>I56="À revoir"</formula>
    </cfRule>
    <cfRule type="expression" dxfId="627" priority="9">
      <formula>I56="À faire"</formula>
    </cfRule>
  </conditionalFormatting>
  <conditionalFormatting sqref="I72">
    <cfRule type="expression" dxfId="626" priority="10">
      <formula>I72="✓ Correct"</formula>
    </cfRule>
    <cfRule type="expression" dxfId="625" priority="11">
      <formula>I72="À revoir"</formula>
    </cfRule>
    <cfRule type="expression" dxfId="624" priority="12">
      <formula>I72="À faire"</formula>
    </cfRule>
  </conditionalFormatting>
  <conditionalFormatting sqref="I86">
    <cfRule type="expression" dxfId="623" priority="13">
      <formula>I86="✓ Correct"</formula>
    </cfRule>
    <cfRule type="expression" dxfId="622" priority="14">
      <formula>I86="À revoir"</formula>
    </cfRule>
    <cfRule type="expression" dxfId="621" priority="15">
      <formula>I86="À faire"</formula>
    </cfRule>
  </conditionalFormatting>
  <conditionalFormatting sqref="I100">
    <cfRule type="expression" dxfId="620" priority="16">
      <formula>I100="✓ Correct"</formula>
    </cfRule>
    <cfRule type="expression" dxfId="619" priority="17">
      <formula>I100="À revoir"</formula>
    </cfRule>
    <cfRule type="expression" dxfId="618" priority="18">
      <formula>I100="À faire"</formula>
    </cfRule>
  </conditionalFormatting>
  <conditionalFormatting sqref="I117">
    <cfRule type="expression" dxfId="617" priority="19">
      <formula>I117="✓ Correct"</formula>
    </cfRule>
    <cfRule type="expression" dxfId="616" priority="20">
      <formula>I117="À revoir"</formula>
    </cfRule>
    <cfRule type="expression" dxfId="615" priority="21">
      <formula>I117="À faire"</formula>
    </cfRule>
  </conditionalFormatting>
  <conditionalFormatting sqref="I133">
    <cfRule type="expression" dxfId="614" priority="22">
      <formula>I133="✓ Correct"</formula>
    </cfRule>
    <cfRule type="expression" dxfId="613" priority="23">
      <formula>I133="À revoir"</formula>
    </cfRule>
    <cfRule type="expression" dxfId="612" priority="24">
      <formula>I133="À faire"</formula>
    </cfRule>
  </conditionalFormatting>
  <conditionalFormatting sqref="I149">
    <cfRule type="expression" dxfId="611" priority="25">
      <formula>I149="✓ Correct"</formula>
    </cfRule>
    <cfRule type="expression" dxfId="610" priority="26">
      <formula>I149="À revoir"</formula>
    </cfRule>
    <cfRule type="expression" dxfId="609" priority="27">
      <formula>I149="À faire"</formula>
    </cfRule>
  </conditionalFormatting>
  <conditionalFormatting sqref="I165">
    <cfRule type="expression" dxfId="608" priority="28">
      <formula>I165="✓ Correct"</formula>
    </cfRule>
    <cfRule type="expression" dxfId="607" priority="29">
      <formula>I165="À revoir"</formula>
    </cfRule>
    <cfRule type="expression" dxfId="606" priority="30">
      <formula>I165="À faire"</formula>
    </cfRule>
  </conditionalFormatting>
  <conditionalFormatting sqref="I182">
    <cfRule type="expression" dxfId="605" priority="31">
      <formula>I182="✓ Correct"</formula>
    </cfRule>
    <cfRule type="expression" dxfId="604" priority="32">
      <formula>I182="À revoir"</formula>
    </cfRule>
    <cfRule type="expression" dxfId="603" priority="33">
      <formula>I182="À faire"</formula>
    </cfRule>
  </conditionalFormatting>
  <conditionalFormatting sqref="I198">
    <cfRule type="expression" dxfId="602" priority="34">
      <formula>I198="✓ Correct"</formula>
    </cfRule>
    <cfRule type="expression" dxfId="601" priority="35">
      <formula>I198="À revoir"</formula>
    </cfRule>
    <cfRule type="expression" dxfId="600" priority="36">
      <formula>I198="À faire"</formula>
    </cfRule>
  </conditionalFormatting>
  <conditionalFormatting sqref="I215">
    <cfRule type="expression" dxfId="599" priority="37">
      <formula>I215="✓ Correct"</formula>
    </cfRule>
    <cfRule type="expression" dxfId="598" priority="38">
      <formula>I215="À revoir"</formula>
    </cfRule>
    <cfRule type="expression" dxfId="597" priority="39">
      <formula>I215="À faire"</formula>
    </cfRule>
  </conditionalFormatting>
  <conditionalFormatting sqref="I229">
    <cfRule type="expression" dxfId="596" priority="40">
      <formula>I229="✓ Correct"</formula>
    </cfRule>
    <cfRule type="expression" dxfId="595" priority="41">
      <formula>I229="À revoir"</formula>
    </cfRule>
    <cfRule type="expression" dxfId="594" priority="42">
      <formula>I229="À faire"</formula>
    </cfRule>
  </conditionalFormatting>
  <conditionalFormatting sqref="I246">
    <cfRule type="expression" dxfId="593" priority="43">
      <formula>I246="✓ Correct"</formula>
    </cfRule>
    <cfRule type="expression" dxfId="592" priority="44">
      <formula>I246="À revoir"</formula>
    </cfRule>
    <cfRule type="expression" dxfId="591" priority="45">
      <formula>I246="À faire"</formula>
    </cfRule>
  </conditionalFormatting>
  <conditionalFormatting sqref="I262">
    <cfRule type="expression" dxfId="590" priority="46">
      <formula>I262="✓ Correct"</formula>
    </cfRule>
    <cfRule type="expression" dxfId="589" priority="47">
      <formula>I262="À revoir"</formula>
    </cfRule>
    <cfRule type="expression" dxfId="588" priority="48">
      <formula>I262="À faire"</formula>
    </cfRule>
  </conditionalFormatting>
  <conditionalFormatting sqref="I278">
    <cfRule type="expression" dxfId="587" priority="49">
      <formula>I278="✓ Correct"</formula>
    </cfRule>
    <cfRule type="expression" dxfId="586" priority="50">
      <formula>I278="À revoir"</formula>
    </cfRule>
    <cfRule type="expression" dxfId="585" priority="51">
      <formula>I278="À faire"</formula>
    </cfRule>
  </conditionalFormatting>
  <conditionalFormatting sqref="I295">
    <cfRule type="expression" dxfId="584" priority="52">
      <formula>I295="✓ Correct"</formula>
    </cfRule>
    <cfRule type="expression" dxfId="583" priority="53">
      <formula>I295="À revoir"</formula>
    </cfRule>
    <cfRule type="expression" dxfId="582" priority="54">
      <formula>I295="À faire"</formula>
    </cfRule>
  </conditionalFormatting>
  <conditionalFormatting sqref="I312">
    <cfRule type="expression" dxfId="581" priority="55">
      <formula>I312="✓ Correct"</formula>
    </cfRule>
    <cfRule type="expression" dxfId="580" priority="56">
      <formula>I312="À revoir"</formula>
    </cfRule>
    <cfRule type="expression" dxfId="579" priority="57">
      <formula>I312="À faire"</formula>
    </cfRule>
  </conditionalFormatting>
  <conditionalFormatting sqref="I329">
    <cfRule type="expression" dxfId="578" priority="58">
      <formula>I329="✓ Correct"</formula>
    </cfRule>
    <cfRule type="expression" dxfId="577" priority="59">
      <formula>I329="À revoir"</formula>
    </cfRule>
    <cfRule type="expression" dxfId="576" priority="60">
      <formula>I329="À faire"</formula>
    </cfRule>
  </conditionalFormatting>
  <conditionalFormatting sqref="I345">
    <cfRule type="expression" dxfId="575" priority="61">
      <formula>I345="✓ Correct"</formula>
    </cfRule>
    <cfRule type="expression" dxfId="574" priority="62">
      <formula>I345="À revoir"</formula>
    </cfRule>
    <cfRule type="expression" dxfId="573" priority="63">
      <formula>I345="À faire"</formula>
    </cfRule>
  </conditionalFormatting>
  <conditionalFormatting sqref="I359">
    <cfRule type="expression" dxfId="572" priority="64">
      <formula>I359="✓ Correct"</formula>
    </cfRule>
    <cfRule type="expression" dxfId="571" priority="65">
      <formula>I359="À revoir"</formula>
    </cfRule>
    <cfRule type="expression" dxfId="570" priority="66">
      <formula>I359="À faire"</formula>
    </cfRule>
  </conditionalFormatting>
  <conditionalFormatting sqref="I390">
    <cfRule type="expression" dxfId="569" priority="67">
      <formula>I390="✓ Correct"</formula>
    </cfRule>
    <cfRule type="expression" dxfId="568" priority="68">
      <formula>I390="À revoir"</formula>
    </cfRule>
    <cfRule type="expression" dxfId="567" priority="69">
      <formula>I390="À faire"</formula>
    </cfRule>
  </conditionalFormatting>
  <conditionalFormatting sqref="I405">
    <cfRule type="expression" dxfId="566" priority="70">
      <formula>I405="✓ Correct"</formula>
    </cfRule>
    <cfRule type="expression" dxfId="565" priority="71">
      <formula>I405="À revoir"</formula>
    </cfRule>
    <cfRule type="expression" dxfId="564" priority="72">
      <formula>I405="À faire"</formula>
    </cfRule>
  </conditionalFormatting>
  <conditionalFormatting sqref="I420">
    <cfRule type="expression" dxfId="563" priority="73">
      <formula>I420="✓ Correct"</formula>
    </cfRule>
    <cfRule type="expression" dxfId="562" priority="74">
      <formula>I420="À revoir"</formula>
    </cfRule>
    <cfRule type="expression" dxfId="561" priority="75">
      <formula>I420="À faire"</formula>
    </cfRule>
  </conditionalFormatting>
  <conditionalFormatting sqref="I434">
    <cfRule type="expression" dxfId="560" priority="76">
      <formula>I434="✓ Correct"</formula>
    </cfRule>
    <cfRule type="expression" dxfId="559" priority="77">
      <formula>I434="À revoir"</formula>
    </cfRule>
    <cfRule type="expression" dxfId="558" priority="78">
      <formula>I434="À faire"</formula>
    </cfRule>
  </conditionalFormatting>
  <conditionalFormatting sqref="I449">
    <cfRule type="expression" dxfId="557" priority="79">
      <formula>I449="✓ Correct"</formula>
    </cfRule>
    <cfRule type="expression" dxfId="556" priority="80">
      <formula>I449="À revoir"</formula>
    </cfRule>
    <cfRule type="expression" dxfId="555" priority="81">
      <formula>I449="À faire"</formula>
    </cfRule>
  </conditionalFormatting>
  <conditionalFormatting sqref="I466">
    <cfRule type="expression" dxfId="554" priority="82">
      <formula>I466="✓ Correct"</formula>
    </cfRule>
    <cfRule type="expression" dxfId="553" priority="83">
      <formula>I466="À revoir"</formula>
    </cfRule>
    <cfRule type="expression" dxfId="552" priority="84">
      <formula>I466="À faire"</formula>
    </cfRule>
  </conditionalFormatting>
  <conditionalFormatting sqref="I481">
    <cfRule type="expression" dxfId="551" priority="85">
      <formula>I481="✓ Correct"</formula>
    </cfRule>
    <cfRule type="expression" dxfId="550" priority="86">
      <formula>I481="À revoir"</formula>
    </cfRule>
    <cfRule type="expression" dxfId="549" priority="87">
      <formula>I481="À faire"</formula>
    </cfRule>
  </conditionalFormatting>
  <hyperlinks>
    <hyperlink ref="I2" location="SOMMAIRE!A1" display="SOMMAIRE" xr:uid="{00000000-0004-0000-0400-000000000000}"/>
  </hyperlinks>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16"/>
  <sheetViews>
    <sheetView showGridLines="0" workbookViewId="0"/>
  </sheetViews>
  <sheetFormatPr baseColWidth="10" defaultColWidth="9" defaultRowHeight="14.25"/>
  <cols>
    <col min="1" max="1" width="3" customWidth="1"/>
    <col min="2" max="2" width="26" customWidth="1"/>
    <col min="3" max="7" width="20" customWidth="1"/>
    <col min="8" max="9" width="18" customWidth="1"/>
    <col min="10" max="10" width="13" customWidth="1"/>
  </cols>
  <sheetData>
    <row r="1" spans="1:10">
      <c r="A1" s="42"/>
      <c r="B1" s="42"/>
      <c r="C1" s="42"/>
      <c r="D1" s="42"/>
      <c r="E1" s="42"/>
      <c r="F1" s="42"/>
      <c r="G1" s="42"/>
      <c r="H1" s="42"/>
      <c r="I1" s="42"/>
      <c r="J1" s="42"/>
    </row>
    <row r="2" spans="1:10" ht="19.5">
      <c r="A2" s="42"/>
      <c r="B2" s="43" t="s">
        <v>280</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285</v>
      </c>
      <c r="C7" s="46" t="s">
        <v>286</v>
      </c>
    </row>
    <row r="8" spans="1:10" ht="33.950000000000003" customHeight="1">
      <c r="B8" s="47" t="s">
        <v>291</v>
      </c>
      <c r="C8" s="46" t="s">
        <v>292</v>
      </c>
    </row>
    <row r="9" spans="1:10" ht="33.950000000000003" customHeight="1">
      <c r="B9" s="47" t="s">
        <v>296</v>
      </c>
      <c r="C9" s="46" t="s">
        <v>297</v>
      </c>
    </row>
    <row r="10" spans="1:10" ht="33.950000000000003" customHeight="1">
      <c r="B10" s="47" t="s">
        <v>302</v>
      </c>
      <c r="C10" s="46" t="s">
        <v>303</v>
      </c>
    </row>
    <row r="11" spans="1:10" ht="33.950000000000003" customHeight="1">
      <c r="B11" s="47" t="s">
        <v>307</v>
      </c>
      <c r="C11" s="46" t="s">
        <v>308</v>
      </c>
    </row>
    <row r="12" spans="1:10" ht="33.950000000000003" customHeight="1">
      <c r="B12" s="47" t="s">
        <v>312</v>
      </c>
      <c r="C12" s="46" t="s">
        <v>313</v>
      </c>
    </row>
    <row r="13" spans="1:10" ht="33.950000000000003" customHeight="1">
      <c r="B13" s="47" t="s">
        <v>317</v>
      </c>
      <c r="C13" s="46" t="s">
        <v>318</v>
      </c>
    </row>
    <row r="14" spans="1:10" ht="33.950000000000003" customHeight="1">
      <c r="B14" s="47" t="s">
        <v>323</v>
      </c>
      <c r="C14" s="46" t="s">
        <v>324</v>
      </c>
    </row>
    <row r="15" spans="1:10" ht="33.950000000000003" customHeight="1">
      <c r="B15" s="47" t="s">
        <v>328</v>
      </c>
      <c r="C15" s="46" t="s">
        <v>329</v>
      </c>
    </row>
    <row r="16" spans="1:10" ht="33.950000000000003" customHeight="1">
      <c r="B16" s="47" t="s">
        <v>333</v>
      </c>
      <c r="C16" s="46" t="s">
        <v>334</v>
      </c>
    </row>
    <row r="17" spans="2:9" ht="33.950000000000003" customHeight="1">
      <c r="B17" s="35" t="s">
        <v>339</v>
      </c>
      <c r="C17" s="34" t="s">
        <v>340</v>
      </c>
    </row>
    <row r="20" spans="2:9" ht="15">
      <c r="B20" s="529" t="s">
        <v>1162</v>
      </c>
      <c r="C20" s="529"/>
      <c r="D20" s="529"/>
      <c r="E20" s="529"/>
      <c r="F20" s="529"/>
      <c r="G20" s="529"/>
      <c r="H20" s="529"/>
      <c r="I20" s="529"/>
    </row>
    <row r="21" spans="2:9">
      <c r="B21" s="160"/>
      <c r="C21" s="160"/>
      <c r="D21" s="160"/>
      <c r="E21" s="160"/>
      <c r="F21" s="160"/>
      <c r="G21" s="160"/>
      <c r="H21" s="160"/>
      <c r="I21" s="160"/>
    </row>
    <row r="22" spans="2:9" ht="15">
      <c r="B22" s="530" t="s">
        <v>285</v>
      </c>
      <c r="C22" s="530"/>
      <c r="D22" s="530"/>
      <c r="E22" s="530"/>
      <c r="F22" s="530"/>
      <c r="G22" s="530"/>
      <c r="H22" s="530"/>
      <c r="I22" s="530"/>
    </row>
    <row r="23" spans="2:9">
      <c r="B23" s="160"/>
      <c r="C23" s="160"/>
      <c r="D23" s="160"/>
      <c r="E23" s="160"/>
      <c r="F23" s="160"/>
      <c r="G23" s="160"/>
      <c r="H23" s="160"/>
      <c r="I23" s="160"/>
    </row>
    <row r="24" spans="2:9" ht="15">
      <c r="B24" s="531" t="s">
        <v>1163</v>
      </c>
      <c r="C24" s="531"/>
      <c r="D24" s="531"/>
      <c r="E24" s="531"/>
      <c r="F24" s="531"/>
      <c r="G24" s="531"/>
      <c r="H24" s="161" t="s">
        <v>901</v>
      </c>
      <c r="I24" s="141" t="s">
        <v>902</v>
      </c>
    </row>
    <row r="25" spans="2:9" ht="33.950000000000003" customHeight="1">
      <c r="B25" s="532" t="s">
        <v>1164</v>
      </c>
      <c r="C25" s="532"/>
      <c r="D25" s="532"/>
      <c r="E25" s="532"/>
      <c r="F25" s="532"/>
      <c r="G25" s="532"/>
      <c r="H25" s="532"/>
      <c r="I25" s="532"/>
    </row>
    <row r="26" spans="2:9">
      <c r="B26" s="160"/>
      <c r="C26" s="160"/>
      <c r="D26" s="160"/>
      <c r="E26" s="160"/>
      <c r="F26" s="160"/>
      <c r="G26" s="160"/>
      <c r="H26" s="160"/>
      <c r="I26" s="160"/>
    </row>
    <row r="27" spans="2:9">
      <c r="B27" s="162" t="s">
        <v>1097</v>
      </c>
      <c r="C27" s="162" t="s">
        <v>927</v>
      </c>
      <c r="D27" s="160"/>
      <c r="E27" s="160"/>
      <c r="F27" s="160"/>
      <c r="G27" s="160"/>
      <c r="H27" s="160"/>
      <c r="I27" s="160"/>
    </row>
    <row r="28" spans="2:9">
      <c r="B28" s="163" t="s">
        <v>1098</v>
      </c>
      <c r="C28" s="326"/>
      <c r="D28" s="160"/>
      <c r="E28" s="160"/>
      <c r="F28" s="160"/>
      <c r="G28" s="160"/>
      <c r="H28" s="160"/>
      <c r="I28" s="160"/>
    </row>
    <row r="29" spans="2:9">
      <c r="B29" s="160"/>
      <c r="C29" s="160"/>
      <c r="D29" s="160"/>
      <c r="E29" s="160"/>
      <c r="F29" s="160"/>
      <c r="G29" s="160"/>
      <c r="H29" s="160"/>
      <c r="I29" s="160"/>
    </row>
    <row r="30" spans="2:9">
      <c r="B30" s="160"/>
      <c r="C30" s="160"/>
      <c r="D30" s="160"/>
      <c r="E30" s="160"/>
      <c r="F30" s="160"/>
      <c r="G30" s="160"/>
      <c r="H30" s="201" t="s">
        <v>909</v>
      </c>
      <c r="I30" s="203" t="str">
        <f>IF(COUNTA(C28)&lt;1,"À faire",IFERROR(IF(AND(C28=TRUE),"✓ Correct","À revoir"),"À revoir"))</f>
        <v>À faire</v>
      </c>
    </row>
    <row r="31" spans="2:9">
      <c r="B31" s="160"/>
      <c r="C31" s="160"/>
      <c r="D31" s="160"/>
      <c r="E31" s="160"/>
      <c r="F31" s="160"/>
      <c r="G31" s="160"/>
      <c r="H31" s="160"/>
      <c r="I31" s="160"/>
    </row>
    <row r="32" spans="2:9">
      <c r="B32" s="160"/>
      <c r="C32" s="160"/>
      <c r="D32" s="160"/>
      <c r="E32" s="160"/>
      <c r="F32" s="160"/>
      <c r="G32" s="160"/>
      <c r="H32" s="160"/>
      <c r="I32" s="160"/>
    </row>
    <row r="33" spans="2:9" ht="15">
      <c r="B33" s="531" t="s">
        <v>1165</v>
      </c>
      <c r="C33" s="531"/>
      <c r="D33" s="531"/>
      <c r="E33" s="531"/>
      <c r="F33" s="531"/>
      <c r="G33" s="531"/>
      <c r="H33" s="161" t="s">
        <v>901</v>
      </c>
      <c r="I33" s="141" t="s">
        <v>902</v>
      </c>
    </row>
    <row r="34" spans="2:9" ht="33.950000000000003" customHeight="1">
      <c r="B34" s="532" t="s">
        <v>1166</v>
      </c>
      <c r="C34" s="532"/>
      <c r="D34" s="532"/>
      <c r="E34" s="532"/>
      <c r="F34" s="532"/>
      <c r="G34" s="532"/>
      <c r="H34" s="532"/>
      <c r="I34" s="532"/>
    </row>
    <row r="35" spans="2:9">
      <c r="B35" s="160"/>
      <c r="C35" s="160"/>
      <c r="D35" s="160"/>
      <c r="E35" s="160"/>
      <c r="F35" s="160"/>
      <c r="G35" s="160"/>
      <c r="H35" s="160"/>
      <c r="I35" s="160"/>
    </row>
    <row r="36" spans="2:9">
      <c r="B36" s="162" t="s">
        <v>26</v>
      </c>
      <c r="C36" s="162" t="s">
        <v>1167</v>
      </c>
      <c r="D36" s="160"/>
      <c r="E36" s="160"/>
      <c r="F36" s="160"/>
      <c r="G36" s="160"/>
      <c r="H36" s="160"/>
      <c r="I36" s="160"/>
    </row>
    <row r="37" spans="2:9">
      <c r="B37" s="324">
        <v>640</v>
      </c>
      <c r="C37" s="326"/>
      <c r="D37" s="160"/>
      <c r="E37" s="160"/>
      <c r="F37" s="160"/>
      <c r="G37" s="160"/>
      <c r="H37" s="160"/>
      <c r="I37" s="160"/>
    </row>
    <row r="38" spans="2:9">
      <c r="B38" s="324">
        <v>300</v>
      </c>
      <c r="C38" s="326"/>
      <c r="D38" s="160"/>
      <c r="E38" s="160"/>
      <c r="F38" s="160"/>
      <c r="G38" s="160"/>
      <c r="H38" s="160"/>
      <c r="I38" s="160"/>
    </row>
    <row r="39" spans="2:9">
      <c r="B39" s="324">
        <v>900</v>
      </c>
      <c r="C39" s="326"/>
      <c r="D39" s="160"/>
      <c r="E39" s="160"/>
      <c r="F39" s="160"/>
      <c r="G39" s="160"/>
      <c r="H39" s="160"/>
      <c r="I39" s="160"/>
    </row>
    <row r="40" spans="2:9">
      <c r="B40" s="324">
        <v>180</v>
      </c>
      <c r="C40" s="326"/>
      <c r="D40" s="160"/>
      <c r="E40" s="160"/>
      <c r="F40" s="160"/>
      <c r="G40" s="160"/>
      <c r="H40" s="160"/>
      <c r="I40" s="160"/>
    </row>
    <row r="41" spans="2:9">
      <c r="B41" s="160"/>
      <c r="C41" s="160"/>
      <c r="D41" s="160"/>
      <c r="E41" s="160"/>
      <c r="F41" s="160"/>
      <c r="G41" s="160"/>
      <c r="H41" s="160"/>
      <c r="I41" s="160"/>
    </row>
    <row r="42" spans="2:9">
      <c r="B42" s="160"/>
      <c r="C42" s="160"/>
      <c r="D42" s="160"/>
      <c r="E42" s="160"/>
      <c r="F42" s="160"/>
      <c r="G42" s="160"/>
      <c r="H42" s="201" t="s">
        <v>909</v>
      </c>
      <c r="I42" s="203" t="str">
        <f>IF(COUNTA(C37,C38,C39,C40)&lt;4,"À faire",IFERROR(IF(AND(C37=TRUE,C38=FALSE,C39=TRUE,C40=FALSE),"✓ Correct","À revoir"),"À revoir"))</f>
        <v>À faire</v>
      </c>
    </row>
    <row r="43" spans="2:9">
      <c r="B43" s="160"/>
      <c r="C43" s="160"/>
      <c r="D43" s="160"/>
      <c r="E43" s="160"/>
      <c r="F43" s="160"/>
      <c r="G43" s="160"/>
      <c r="H43" s="160"/>
      <c r="I43" s="160"/>
    </row>
    <row r="44" spans="2:9">
      <c r="B44" s="160"/>
      <c r="C44" s="160"/>
      <c r="D44" s="160"/>
      <c r="E44" s="160"/>
      <c r="F44" s="160"/>
      <c r="G44" s="160"/>
      <c r="H44" s="160"/>
      <c r="I44" s="160"/>
    </row>
    <row r="45" spans="2:9" ht="15">
      <c r="B45" s="531" t="s">
        <v>1168</v>
      </c>
      <c r="C45" s="531"/>
      <c r="D45" s="531"/>
      <c r="E45" s="531"/>
      <c r="F45" s="531"/>
      <c r="G45" s="531"/>
      <c r="H45" s="161" t="s">
        <v>930</v>
      </c>
      <c r="I45" s="141" t="s">
        <v>902</v>
      </c>
    </row>
    <row r="46" spans="2:9" ht="33.950000000000003" customHeight="1">
      <c r="B46" s="532" t="s">
        <v>1169</v>
      </c>
      <c r="C46" s="532"/>
      <c r="D46" s="532"/>
      <c r="E46" s="532"/>
      <c r="F46" s="532"/>
      <c r="G46" s="532"/>
      <c r="H46" s="532"/>
      <c r="I46" s="532"/>
    </row>
    <row r="47" spans="2:9">
      <c r="B47" s="160"/>
      <c r="C47" s="160"/>
      <c r="D47" s="160"/>
      <c r="E47" s="160"/>
      <c r="F47" s="160"/>
      <c r="G47" s="160"/>
      <c r="H47" s="160"/>
      <c r="I47" s="160"/>
    </row>
    <row r="48" spans="2:9">
      <c r="B48" s="162" t="s">
        <v>1102</v>
      </c>
      <c r="C48" s="162" t="s">
        <v>1170</v>
      </c>
      <c r="D48" s="162" t="s">
        <v>927</v>
      </c>
      <c r="E48" s="160"/>
      <c r="F48" s="160"/>
      <c r="G48" s="160"/>
      <c r="H48" s="160"/>
      <c r="I48" s="160"/>
    </row>
    <row r="49" spans="2:9">
      <c r="B49" s="163" t="s">
        <v>1098</v>
      </c>
      <c r="C49" s="325" t="s">
        <v>1171</v>
      </c>
      <c r="D49" s="326"/>
      <c r="E49" s="160"/>
      <c r="F49" s="160"/>
      <c r="G49" s="160"/>
      <c r="H49" s="160"/>
      <c r="I49" s="160"/>
    </row>
    <row r="50" spans="2:9">
      <c r="B50" s="163">
        <v>640</v>
      </c>
      <c r="C50" s="325" t="s">
        <v>1172</v>
      </c>
      <c r="D50" s="326"/>
      <c r="E50" s="160"/>
      <c r="F50" s="160"/>
      <c r="G50" s="160"/>
      <c r="H50" s="160"/>
      <c r="I50" s="160"/>
    </row>
    <row r="51" spans="2:9">
      <c r="B51" s="163">
        <v>640</v>
      </c>
      <c r="C51" s="325" t="s">
        <v>1173</v>
      </c>
      <c r="D51" s="326"/>
      <c r="E51" s="160"/>
      <c r="F51" s="160"/>
      <c r="G51" s="160"/>
      <c r="H51" s="160"/>
      <c r="I51" s="160"/>
    </row>
    <row r="52" spans="2:9">
      <c r="B52" s="160"/>
      <c r="C52" s="160"/>
      <c r="D52" s="160"/>
      <c r="E52" s="160"/>
      <c r="F52" s="160"/>
      <c r="G52" s="160"/>
      <c r="H52" s="160"/>
      <c r="I52" s="160"/>
    </row>
    <row r="53" spans="2:9">
      <c r="B53" s="160"/>
      <c r="C53" s="160"/>
      <c r="D53" s="160"/>
      <c r="E53" s="160"/>
      <c r="F53" s="160"/>
      <c r="G53" s="160"/>
      <c r="H53" s="201" t="s">
        <v>909</v>
      </c>
      <c r="I53" s="203" t="str">
        <f>IF(COUNTA(D49,D50,D51)&lt;3,"À faire",IFERROR(IF(AND(D49=TRUE,D50=FALSE,D51=TRUE),"✓ Correct","À revoir"),"À revoir"))</f>
        <v>À faire</v>
      </c>
    </row>
    <row r="54" spans="2:9">
      <c r="B54" s="160"/>
      <c r="C54" s="160"/>
      <c r="D54" s="160"/>
      <c r="E54" s="160"/>
      <c r="F54" s="160"/>
      <c r="G54" s="160"/>
      <c r="H54" s="160"/>
      <c r="I54" s="160"/>
    </row>
    <row r="55" spans="2:9">
      <c r="B55" s="160"/>
      <c r="C55" s="160"/>
      <c r="D55" s="160"/>
      <c r="E55" s="160"/>
      <c r="F55" s="160"/>
      <c r="G55" s="160"/>
      <c r="H55" s="160"/>
      <c r="I55" s="160"/>
    </row>
    <row r="56" spans="2:9" ht="15">
      <c r="B56" s="530" t="s">
        <v>291</v>
      </c>
      <c r="C56" s="530"/>
      <c r="D56" s="530"/>
      <c r="E56" s="530"/>
      <c r="F56" s="530"/>
      <c r="G56" s="530"/>
      <c r="H56" s="530"/>
      <c r="I56" s="530"/>
    </row>
    <row r="57" spans="2:9">
      <c r="B57" s="160"/>
      <c r="C57" s="160"/>
      <c r="D57" s="160"/>
      <c r="E57" s="160"/>
      <c r="F57" s="160"/>
      <c r="G57" s="160"/>
      <c r="H57" s="160"/>
      <c r="I57" s="160"/>
    </row>
    <row r="58" spans="2:9" ht="15">
      <c r="B58" s="531" t="s">
        <v>1174</v>
      </c>
      <c r="C58" s="531"/>
      <c r="D58" s="531"/>
      <c r="E58" s="531"/>
      <c r="F58" s="531"/>
      <c r="G58" s="531"/>
      <c r="H58" s="161" t="s">
        <v>901</v>
      </c>
      <c r="I58" s="141" t="s">
        <v>902</v>
      </c>
    </row>
    <row r="59" spans="2:9" ht="33.950000000000003" customHeight="1">
      <c r="B59" s="532" t="s">
        <v>1175</v>
      </c>
      <c r="C59" s="532"/>
      <c r="D59" s="532"/>
      <c r="E59" s="532"/>
      <c r="F59" s="532"/>
      <c r="G59" s="532"/>
      <c r="H59" s="532"/>
      <c r="I59" s="532"/>
    </row>
    <row r="60" spans="2:9">
      <c r="B60" s="160"/>
      <c r="C60" s="160"/>
      <c r="D60" s="160"/>
      <c r="E60" s="160"/>
      <c r="F60" s="160"/>
      <c r="G60" s="160"/>
      <c r="H60" s="160"/>
      <c r="I60" s="160"/>
    </row>
    <row r="61" spans="2:9">
      <c r="B61" s="162" t="s">
        <v>1097</v>
      </c>
      <c r="C61" s="162" t="s">
        <v>906</v>
      </c>
      <c r="D61" s="160"/>
      <c r="E61" s="160"/>
      <c r="F61" s="160"/>
      <c r="G61" s="160"/>
      <c r="H61" s="160"/>
      <c r="I61" s="160"/>
    </row>
    <row r="62" spans="2:9">
      <c r="B62" s="163" t="s">
        <v>1098</v>
      </c>
      <c r="C62" s="326"/>
      <c r="D62" s="160"/>
      <c r="E62" s="160"/>
      <c r="F62" s="160"/>
      <c r="G62" s="160"/>
      <c r="H62" s="160"/>
      <c r="I62" s="160"/>
    </row>
    <row r="63" spans="2:9">
      <c r="B63" s="163" t="s">
        <v>1099</v>
      </c>
      <c r="C63" s="326"/>
      <c r="D63" s="160"/>
      <c r="E63" s="160"/>
      <c r="F63" s="160"/>
      <c r="G63" s="160"/>
      <c r="H63" s="160"/>
      <c r="I63" s="160"/>
    </row>
    <row r="64" spans="2:9">
      <c r="B64" s="163" t="s">
        <v>1105</v>
      </c>
      <c r="C64" s="326"/>
      <c r="D64" s="160"/>
      <c r="E64" s="160"/>
      <c r="F64" s="160"/>
      <c r="G64" s="160"/>
      <c r="H64" s="160"/>
      <c r="I64" s="160"/>
    </row>
    <row r="65" spans="2:9">
      <c r="B65" s="163" t="s">
        <v>1098</v>
      </c>
      <c r="C65" s="326"/>
      <c r="D65" s="160"/>
      <c r="E65" s="160"/>
      <c r="F65" s="160"/>
      <c r="G65" s="160"/>
      <c r="H65" s="160"/>
      <c r="I65" s="160"/>
    </row>
    <row r="66" spans="2:9">
      <c r="B66" s="160"/>
      <c r="C66" s="160"/>
      <c r="D66" s="160"/>
      <c r="E66" s="160"/>
      <c r="F66" s="160"/>
      <c r="G66" s="160"/>
      <c r="H66" s="160"/>
      <c r="I66" s="160"/>
    </row>
    <row r="67" spans="2:9">
      <c r="B67" s="160"/>
      <c r="C67" s="160"/>
      <c r="D67" s="160"/>
      <c r="E67" s="160"/>
      <c r="F67" s="160"/>
      <c r="G67" s="160"/>
      <c r="H67" s="201" t="s">
        <v>909</v>
      </c>
      <c r="I67" s="203" t="str">
        <f>IF(COUNTA(C62,C63,C64,C65)&lt;4,"À faire",IFERROR(IF(AND(C62="Clôturée",C63="à suivre",C64="à suivre",C65="Clôturée"),"✓ Correct","À revoir"),"À revoir"))</f>
        <v>À faire</v>
      </c>
    </row>
    <row r="68" spans="2:9">
      <c r="B68" s="160"/>
      <c r="C68" s="160"/>
      <c r="D68" s="160"/>
      <c r="E68" s="160"/>
      <c r="F68" s="160"/>
      <c r="G68" s="160"/>
      <c r="H68" s="160"/>
      <c r="I68" s="160"/>
    </row>
    <row r="69" spans="2:9">
      <c r="B69" s="160"/>
      <c r="C69" s="160"/>
      <c r="D69" s="160"/>
      <c r="E69" s="160"/>
      <c r="F69" s="160"/>
      <c r="G69" s="160"/>
      <c r="H69" s="160"/>
      <c r="I69" s="160"/>
    </row>
    <row r="70" spans="2:9" ht="15">
      <c r="B70" s="531" t="s">
        <v>1176</v>
      </c>
      <c r="C70" s="531"/>
      <c r="D70" s="531"/>
      <c r="E70" s="531"/>
      <c r="F70" s="531"/>
      <c r="G70" s="531"/>
      <c r="H70" s="161" t="s">
        <v>930</v>
      </c>
      <c r="I70" s="141" t="s">
        <v>902</v>
      </c>
    </row>
    <row r="71" spans="2:9" ht="33.950000000000003" customHeight="1">
      <c r="B71" s="532" t="s">
        <v>1177</v>
      </c>
      <c r="C71" s="532"/>
      <c r="D71" s="532"/>
      <c r="E71" s="532"/>
      <c r="F71" s="532"/>
      <c r="G71" s="532"/>
      <c r="H71" s="532"/>
      <c r="I71" s="532"/>
    </row>
    <row r="72" spans="2:9">
      <c r="B72" s="160"/>
      <c r="C72" s="160"/>
      <c r="D72" s="160"/>
      <c r="E72" s="160"/>
      <c r="F72" s="160"/>
      <c r="G72" s="160"/>
      <c r="H72" s="160"/>
      <c r="I72" s="160"/>
    </row>
    <row r="73" spans="2:9">
      <c r="B73" s="162" t="s">
        <v>1097</v>
      </c>
      <c r="C73" s="162" t="s">
        <v>26</v>
      </c>
      <c r="D73" s="162" t="s">
        <v>906</v>
      </c>
      <c r="E73" s="160"/>
      <c r="F73" s="160"/>
      <c r="G73" s="160"/>
      <c r="H73" s="160"/>
      <c r="I73" s="160"/>
    </row>
    <row r="74" spans="2:9">
      <c r="B74" s="163" t="s">
        <v>1098</v>
      </c>
      <c r="C74" s="323">
        <v>450</v>
      </c>
      <c r="D74" s="326"/>
      <c r="E74" s="160"/>
      <c r="F74" s="160"/>
      <c r="G74" s="160"/>
      <c r="H74" s="160"/>
      <c r="I74" s="160"/>
    </row>
    <row r="75" spans="2:9">
      <c r="B75" s="163" t="s">
        <v>1099</v>
      </c>
      <c r="C75" s="323">
        <v>180</v>
      </c>
      <c r="D75" s="326"/>
      <c r="E75" s="160"/>
      <c r="F75" s="160"/>
      <c r="G75" s="160"/>
      <c r="H75" s="160"/>
      <c r="I75" s="160"/>
    </row>
    <row r="76" spans="2:9">
      <c r="B76" s="163" t="s">
        <v>1098</v>
      </c>
      <c r="C76" s="323">
        <v>300</v>
      </c>
      <c r="D76" s="326"/>
      <c r="E76" s="160"/>
      <c r="F76" s="160"/>
      <c r="G76" s="160"/>
      <c r="H76" s="160"/>
      <c r="I76" s="160"/>
    </row>
    <row r="77" spans="2:9">
      <c r="B77" s="163" t="s">
        <v>1105</v>
      </c>
      <c r="C77" s="323">
        <v>250</v>
      </c>
      <c r="D77" s="326"/>
      <c r="E77" s="160"/>
      <c r="F77" s="160"/>
      <c r="G77" s="160"/>
      <c r="H77" s="160"/>
      <c r="I77" s="160"/>
    </row>
    <row r="78" spans="2:9">
      <c r="B78" s="160"/>
      <c r="C78" s="160"/>
      <c r="D78" s="160"/>
      <c r="E78" s="160"/>
      <c r="F78" s="160"/>
      <c r="G78" s="160"/>
      <c r="H78" s="160"/>
      <c r="I78" s="160"/>
    </row>
    <row r="79" spans="2:9">
      <c r="B79" s="160"/>
      <c r="C79" s="160"/>
      <c r="D79" s="160"/>
      <c r="E79" s="160"/>
      <c r="F79" s="160"/>
      <c r="G79" s="160"/>
      <c r="H79" s="201" t="s">
        <v>909</v>
      </c>
      <c r="I79" s="203" t="str">
        <f>IF(COUNTA(D74,D75,D76,D77)&lt;4,"À faire",IFERROR(IF(AND(ABS(D74-450)&lt;0.0001,ABS(D75-0)&lt;0.0001,ABS(D76-300)&lt;0.0001,ABS(D77-0)&lt;0.0001),"✓ Correct","À revoir"),"À revoir"))</f>
        <v>À faire</v>
      </c>
    </row>
    <row r="80" spans="2:9">
      <c r="B80" s="160"/>
      <c r="C80" s="160"/>
      <c r="D80" s="160"/>
      <c r="E80" s="160"/>
      <c r="F80" s="160"/>
      <c r="G80" s="160"/>
      <c r="H80" s="160"/>
      <c r="I80" s="160"/>
    </row>
    <row r="81" spans="2:9">
      <c r="B81" s="160"/>
      <c r="C81" s="160"/>
      <c r="D81" s="160"/>
      <c r="E81" s="160"/>
      <c r="F81" s="160"/>
      <c r="G81" s="160"/>
      <c r="H81" s="160"/>
      <c r="I81" s="160"/>
    </row>
    <row r="82" spans="2:9" ht="15">
      <c r="B82" s="531" t="s">
        <v>1178</v>
      </c>
      <c r="C82" s="531"/>
      <c r="D82" s="531"/>
      <c r="E82" s="531"/>
      <c r="F82" s="531"/>
      <c r="G82" s="531"/>
      <c r="H82" s="161" t="s">
        <v>930</v>
      </c>
      <c r="I82" s="141" t="s">
        <v>902</v>
      </c>
    </row>
    <row r="83" spans="2:9" ht="33.950000000000003" customHeight="1">
      <c r="B83" s="532" t="s">
        <v>1179</v>
      </c>
      <c r="C83" s="532"/>
      <c r="D83" s="532"/>
      <c r="E83" s="532"/>
      <c r="F83" s="532"/>
      <c r="G83" s="532"/>
      <c r="H83" s="532"/>
      <c r="I83" s="532"/>
    </row>
    <row r="84" spans="2:9">
      <c r="B84" s="160"/>
      <c r="C84" s="160"/>
      <c r="D84" s="160"/>
      <c r="E84" s="160"/>
      <c r="F84" s="160"/>
      <c r="G84" s="160"/>
      <c r="H84" s="160"/>
      <c r="I84" s="160"/>
    </row>
    <row r="85" spans="2:9">
      <c r="B85" s="162" t="s">
        <v>26</v>
      </c>
      <c r="C85" s="162" t="s">
        <v>941</v>
      </c>
      <c r="D85" s="160"/>
      <c r="E85" s="160"/>
      <c r="F85" s="160"/>
      <c r="G85" s="160"/>
      <c r="H85" s="160"/>
      <c r="I85" s="160"/>
    </row>
    <row r="86" spans="2:9">
      <c r="B86" s="324">
        <v>250</v>
      </c>
      <c r="C86" s="326"/>
      <c r="D86" s="160"/>
      <c r="E86" s="160"/>
      <c r="F86" s="160"/>
      <c r="G86" s="160"/>
      <c r="H86" s="160"/>
      <c r="I86" s="160"/>
    </row>
    <row r="87" spans="2:9">
      <c r="B87" s="324">
        <v>500</v>
      </c>
      <c r="C87" s="326"/>
      <c r="D87" s="160"/>
      <c r="E87" s="160"/>
      <c r="F87" s="160"/>
      <c r="G87" s="160"/>
      <c r="H87" s="160"/>
      <c r="I87" s="160"/>
    </row>
    <row r="88" spans="2:9">
      <c r="B88" s="324">
        <v>850</v>
      </c>
      <c r="C88" s="326"/>
      <c r="D88" s="160"/>
      <c r="E88" s="160"/>
      <c r="F88" s="160"/>
      <c r="G88" s="160"/>
      <c r="H88" s="160"/>
      <c r="I88" s="160"/>
    </row>
    <row r="89" spans="2:9">
      <c r="B89" s="160"/>
      <c r="C89" s="160"/>
      <c r="D89" s="160"/>
      <c r="E89" s="160"/>
      <c r="F89" s="160"/>
      <c r="G89" s="160"/>
      <c r="H89" s="160"/>
      <c r="I89" s="160"/>
    </row>
    <row r="90" spans="2:9">
      <c r="B90" s="160"/>
      <c r="C90" s="160"/>
      <c r="D90" s="160"/>
      <c r="E90" s="160"/>
      <c r="F90" s="160"/>
      <c r="G90" s="160"/>
      <c r="H90" s="201" t="s">
        <v>909</v>
      </c>
      <c r="I90" s="203" t="str">
        <f>IF(COUNTA(C86,C87,C88)&lt;3,"À faire",IFERROR(IF(AND(ABS(C86-5)&lt;0.0001,ABS(C87-25)&lt;0.0001,ABS(C88-42.5)&lt;0.0001),"✓ Correct","À revoir"),"À revoir"))</f>
        <v>À faire</v>
      </c>
    </row>
    <row r="91" spans="2:9">
      <c r="B91" s="160"/>
      <c r="C91" s="160"/>
      <c r="D91" s="160"/>
      <c r="E91" s="160"/>
      <c r="F91" s="160"/>
      <c r="G91" s="160"/>
      <c r="H91" s="160"/>
      <c r="I91" s="160"/>
    </row>
    <row r="92" spans="2:9">
      <c r="B92" s="160"/>
      <c r="C92" s="160"/>
      <c r="D92" s="160"/>
      <c r="E92" s="160"/>
      <c r="F92" s="160"/>
      <c r="G92" s="160"/>
      <c r="H92" s="160"/>
      <c r="I92" s="160"/>
    </row>
    <row r="93" spans="2:9" ht="15">
      <c r="B93" s="530" t="s">
        <v>296</v>
      </c>
      <c r="C93" s="530"/>
      <c r="D93" s="530"/>
      <c r="E93" s="530"/>
      <c r="F93" s="530"/>
      <c r="G93" s="530"/>
      <c r="H93" s="530"/>
      <c r="I93" s="530"/>
    </row>
    <row r="94" spans="2:9">
      <c r="B94" s="160"/>
      <c r="C94" s="160"/>
      <c r="D94" s="160"/>
      <c r="E94" s="160"/>
      <c r="F94" s="160"/>
      <c r="G94" s="160"/>
      <c r="H94" s="160"/>
      <c r="I94" s="160"/>
    </row>
    <row r="95" spans="2:9" ht="15">
      <c r="B95" s="531" t="s">
        <v>1180</v>
      </c>
      <c r="C95" s="531"/>
      <c r="D95" s="531"/>
      <c r="E95" s="531"/>
      <c r="F95" s="531"/>
      <c r="G95" s="531"/>
      <c r="H95" s="161" t="s">
        <v>930</v>
      </c>
      <c r="I95" s="141" t="s">
        <v>902</v>
      </c>
    </row>
    <row r="96" spans="2:9" ht="33.950000000000003" customHeight="1">
      <c r="B96" s="532" t="s">
        <v>1181</v>
      </c>
      <c r="C96" s="532"/>
      <c r="D96" s="532"/>
      <c r="E96" s="532"/>
      <c r="F96" s="532"/>
      <c r="G96" s="532"/>
      <c r="H96" s="532"/>
      <c r="I96" s="532"/>
    </row>
    <row r="97" spans="2:9">
      <c r="B97" s="160"/>
      <c r="C97" s="160"/>
      <c r="D97" s="160"/>
      <c r="E97" s="160"/>
      <c r="F97" s="160"/>
      <c r="G97" s="160"/>
      <c r="H97" s="160"/>
      <c r="I97" s="160"/>
    </row>
    <row r="98" spans="2:9">
      <c r="B98" s="162" t="s">
        <v>1097</v>
      </c>
      <c r="C98" s="162" t="s">
        <v>26</v>
      </c>
      <c r="D98" s="162" t="s">
        <v>1182</v>
      </c>
      <c r="E98" s="160"/>
      <c r="F98" s="160"/>
      <c r="G98" s="160"/>
      <c r="H98" s="160"/>
      <c r="I98" s="160"/>
    </row>
    <row r="99" spans="2:9">
      <c r="B99" s="163" t="s">
        <v>1098</v>
      </c>
      <c r="C99" s="323">
        <v>640</v>
      </c>
      <c r="D99" s="326"/>
      <c r="E99" s="160"/>
      <c r="F99" s="160"/>
      <c r="G99" s="160"/>
      <c r="H99" s="160"/>
      <c r="I99" s="160"/>
    </row>
    <row r="100" spans="2:9">
      <c r="B100" s="163" t="s">
        <v>1098</v>
      </c>
      <c r="C100" s="323">
        <v>300</v>
      </c>
      <c r="D100" s="326"/>
      <c r="E100" s="160"/>
      <c r="F100" s="160"/>
      <c r="G100" s="160"/>
      <c r="H100" s="160"/>
      <c r="I100" s="160"/>
    </row>
    <row r="101" spans="2:9">
      <c r="B101" s="163" t="s">
        <v>1099</v>
      </c>
      <c r="C101" s="323">
        <v>900</v>
      </c>
      <c r="D101" s="326"/>
      <c r="E101" s="160"/>
      <c r="F101" s="160"/>
      <c r="G101" s="160"/>
      <c r="H101" s="160"/>
      <c r="I101" s="160"/>
    </row>
    <row r="102" spans="2:9">
      <c r="B102" s="163" t="s">
        <v>1099</v>
      </c>
      <c r="C102" s="323">
        <v>180</v>
      </c>
      <c r="D102" s="326"/>
      <c r="E102" s="160"/>
      <c r="F102" s="160"/>
      <c r="G102" s="160"/>
      <c r="H102" s="160"/>
      <c r="I102" s="160"/>
    </row>
    <row r="103" spans="2:9">
      <c r="B103" s="160"/>
      <c r="C103" s="160"/>
      <c r="D103" s="160"/>
      <c r="E103" s="160"/>
      <c r="F103" s="160"/>
      <c r="G103" s="160"/>
      <c r="H103" s="160"/>
      <c r="I103" s="160"/>
    </row>
    <row r="104" spans="2:9">
      <c r="B104" s="160"/>
      <c r="C104" s="160"/>
      <c r="D104" s="160"/>
      <c r="E104" s="160"/>
      <c r="F104" s="160"/>
      <c r="G104" s="160"/>
      <c r="H104" s="201" t="s">
        <v>909</v>
      </c>
      <c r="I104" s="203" t="str">
        <f>IF(COUNTA(D99,D100,D101,D102)&lt;4,"À faire",IFERROR(IF(AND(D99=TRUE,D100=FALSE,D101=FALSE,D102=FALSE),"✓ Correct","À revoir"),"À revoir"))</f>
        <v>À faire</v>
      </c>
    </row>
    <row r="105" spans="2:9">
      <c r="B105" s="160"/>
      <c r="C105" s="160"/>
      <c r="D105" s="160"/>
      <c r="E105" s="160"/>
      <c r="F105" s="160"/>
      <c r="G105" s="160"/>
      <c r="H105" s="160"/>
      <c r="I105" s="160"/>
    </row>
    <row r="106" spans="2:9">
      <c r="B106" s="160"/>
      <c r="C106" s="160"/>
      <c r="D106" s="160"/>
      <c r="E106" s="160"/>
      <c r="F106" s="160"/>
      <c r="G106" s="160"/>
      <c r="H106" s="160"/>
      <c r="I106" s="160"/>
    </row>
    <row r="107" spans="2:9" ht="15">
      <c r="B107" s="531" t="s">
        <v>1183</v>
      </c>
      <c r="C107" s="531"/>
      <c r="D107" s="531"/>
      <c r="E107" s="531"/>
      <c r="F107" s="531"/>
      <c r="G107" s="531"/>
      <c r="H107" s="161" t="s">
        <v>947</v>
      </c>
      <c r="I107" s="141" t="s">
        <v>902</v>
      </c>
    </row>
    <row r="108" spans="2:9" ht="33.950000000000003" customHeight="1">
      <c r="B108" s="532" t="s">
        <v>1184</v>
      </c>
      <c r="C108" s="532"/>
      <c r="D108" s="532"/>
      <c r="E108" s="532"/>
      <c r="F108" s="532"/>
      <c r="G108" s="532"/>
      <c r="H108" s="532"/>
      <c r="I108" s="532"/>
    </row>
    <row r="109" spans="2:9">
      <c r="B109" s="160"/>
      <c r="C109" s="160"/>
      <c r="D109" s="160"/>
      <c r="E109" s="160"/>
      <c r="F109" s="160"/>
      <c r="G109" s="160"/>
      <c r="H109" s="160"/>
      <c r="I109" s="160"/>
    </row>
    <row r="110" spans="2:9">
      <c r="B110" s="162" t="s">
        <v>1097</v>
      </c>
      <c r="C110" s="162" t="s">
        <v>26</v>
      </c>
      <c r="D110" s="162" t="s">
        <v>932</v>
      </c>
      <c r="E110" s="162" t="s">
        <v>1182</v>
      </c>
      <c r="F110" s="160"/>
      <c r="G110" s="160"/>
      <c r="H110" s="160"/>
      <c r="I110" s="160"/>
    </row>
    <row r="111" spans="2:9">
      <c r="B111" s="163" t="s">
        <v>1098</v>
      </c>
      <c r="C111" s="323">
        <v>640</v>
      </c>
      <c r="D111" s="325">
        <v>5</v>
      </c>
      <c r="E111" s="326"/>
      <c r="F111" s="160"/>
      <c r="G111" s="160"/>
      <c r="H111" s="160"/>
      <c r="I111" s="160"/>
    </row>
    <row r="112" spans="2:9">
      <c r="B112" s="163" t="s">
        <v>1098</v>
      </c>
      <c r="C112" s="323">
        <v>800</v>
      </c>
      <c r="D112" s="325">
        <v>3</v>
      </c>
      <c r="E112" s="326"/>
      <c r="F112" s="160"/>
      <c r="G112" s="160"/>
      <c r="H112" s="160"/>
      <c r="I112" s="160"/>
    </row>
    <row r="113" spans="2:9">
      <c r="B113" s="163" t="s">
        <v>1099</v>
      </c>
      <c r="C113" s="323">
        <v>900</v>
      </c>
      <c r="D113" s="325">
        <v>7</v>
      </c>
      <c r="E113" s="326"/>
      <c r="F113" s="160"/>
      <c r="G113" s="160"/>
      <c r="H113" s="160"/>
      <c r="I113" s="160"/>
    </row>
    <row r="114" spans="2:9">
      <c r="B114" s="163" t="s">
        <v>1098</v>
      </c>
      <c r="C114" s="323">
        <v>450</v>
      </c>
      <c r="D114" s="325">
        <v>6</v>
      </c>
      <c r="E114" s="326"/>
      <c r="F114" s="160"/>
      <c r="G114" s="160"/>
      <c r="H114" s="160"/>
      <c r="I114" s="160"/>
    </row>
    <row r="115" spans="2:9">
      <c r="B115" s="160"/>
      <c r="C115" s="160"/>
      <c r="D115" s="160"/>
      <c r="E115" s="160"/>
      <c r="F115" s="160"/>
      <c r="G115" s="160"/>
      <c r="H115" s="160"/>
      <c r="I115" s="160"/>
    </row>
    <row r="116" spans="2:9">
      <c r="B116" s="160"/>
      <c r="C116" s="160"/>
      <c r="D116" s="160"/>
      <c r="E116" s="160"/>
      <c r="F116" s="160"/>
      <c r="G116" s="160"/>
      <c r="H116" s="201" t="s">
        <v>909</v>
      </c>
      <c r="I116" s="203" t="str">
        <f>IF(COUNTA(E111,E112,E113,E114)&lt;4,"À faire",IFERROR(IF(AND(E111=TRUE,E112=FALSE,E113=FALSE,E114=FALSE),"✓ Correct","À revoir"),"À revoir"))</f>
        <v>À faire</v>
      </c>
    </row>
    <row r="117" spans="2:9">
      <c r="B117" s="160"/>
      <c r="C117" s="160"/>
      <c r="D117" s="160"/>
      <c r="E117" s="160"/>
      <c r="F117" s="160"/>
      <c r="G117" s="160"/>
      <c r="H117" s="160"/>
      <c r="I117" s="160"/>
    </row>
    <row r="118" spans="2:9">
      <c r="B118" s="160"/>
      <c r="C118" s="160"/>
      <c r="D118" s="160"/>
      <c r="E118" s="160"/>
      <c r="F118" s="160"/>
      <c r="G118" s="160"/>
      <c r="H118" s="160"/>
      <c r="I118" s="160"/>
    </row>
    <row r="119" spans="2:9" ht="15">
      <c r="B119" s="530" t="s">
        <v>302</v>
      </c>
      <c r="C119" s="530"/>
      <c r="D119" s="530"/>
      <c r="E119" s="530"/>
      <c r="F119" s="530"/>
      <c r="G119" s="530"/>
      <c r="H119" s="530"/>
      <c r="I119" s="530"/>
    </row>
    <row r="120" spans="2:9">
      <c r="B120" s="160"/>
      <c r="C120" s="160"/>
      <c r="D120" s="160"/>
      <c r="E120" s="160"/>
      <c r="F120" s="160"/>
      <c r="G120" s="160"/>
      <c r="H120" s="160"/>
      <c r="I120" s="160"/>
    </row>
    <row r="121" spans="2:9" ht="15">
      <c r="B121" s="531" t="s">
        <v>1185</v>
      </c>
      <c r="C121" s="531"/>
      <c r="D121" s="531"/>
      <c r="E121" s="531"/>
      <c r="F121" s="531"/>
      <c r="G121" s="531"/>
      <c r="H121" s="161" t="s">
        <v>930</v>
      </c>
      <c r="I121" s="141" t="s">
        <v>902</v>
      </c>
    </row>
    <row r="122" spans="2:9" ht="33.950000000000003" customHeight="1">
      <c r="B122" s="532" t="s">
        <v>1186</v>
      </c>
      <c r="C122" s="532"/>
      <c r="D122" s="532"/>
      <c r="E122" s="532"/>
      <c r="F122" s="532"/>
      <c r="G122" s="532"/>
      <c r="H122" s="532"/>
      <c r="I122" s="532"/>
    </row>
    <row r="123" spans="2:9">
      <c r="B123" s="160"/>
      <c r="C123" s="160"/>
      <c r="D123" s="160"/>
      <c r="E123" s="160"/>
      <c r="F123" s="160"/>
      <c r="G123" s="160"/>
      <c r="H123" s="160"/>
      <c r="I123" s="160"/>
    </row>
    <row r="124" spans="2:9">
      <c r="B124" s="162" t="s">
        <v>1097</v>
      </c>
      <c r="C124" s="162" t="s">
        <v>26</v>
      </c>
      <c r="D124" s="162" t="s">
        <v>1187</v>
      </c>
      <c r="E124" s="160"/>
      <c r="F124" s="160"/>
      <c r="G124" s="160"/>
      <c r="H124" s="160"/>
      <c r="I124" s="160"/>
    </row>
    <row r="125" spans="2:9">
      <c r="B125" s="163" t="s">
        <v>1098</v>
      </c>
      <c r="C125" s="323">
        <v>640</v>
      </c>
      <c r="D125" s="326"/>
      <c r="E125" s="160"/>
      <c r="F125" s="160"/>
      <c r="G125" s="160"/>
      <c r="H125" s="160"/>
      <c r="I125" s="160"/>
    </row>
    <row r="126" spans="2:9">
      <c r="B126" s="163" t="s">
        <v>1098</v>
      </c>
      <c r="C126" s="323">
        <v>300</v>
      </c>
      <c r="D126" s="326"/>
      <c r="E126" s="160"/>
      <c r="F126" s="160"/>
      <c r="G126" s="160"/>
      <c r="H126" s="160"/>
      <c r="I126" s="160"/>
    </row>
    <row r="127" spans="2:9">
      <c r="B127" s="163" t="s">
        <v>1099</v>
      </c>
      <c r="C127" s="323">
        <v>900</v>
      </c>
      <c r="D127" s="326"/>
      <c r="E127" s="160"/>
      <c r="F127" s="160"/>
      <c r="G127" s="160"/>
      <c r="H127" s="160"/>
      <c r="I127" s="160"/>
    </row>
    <row r="128" spans="2:9">
      <c r="B128" s="163" t="s">
        <v>1099</v>
      </c>
      <c r="C128" s="323">
        <v>180</v>
      </c>
      <c r="D128" s="326"/>
      <c r="E128" s="160"/>
      <c r="F128" s="160"/>
      <c r="G128" s="160"/>
      <c r="H128" s="160"/>
      <c r="I128" s="160"/>
    </row>
    <row r="129" spans="2:9">
      <c r="B129" s="160"/>
      <c r="C129" s="160"/>
      <c r="D129" s="160"/>
      <c r="E129" s="160"/>
      <c r="F129" s="160"/>
      <c r="G129" s="160"/>
      <c r="H129" s="160"/>
      <c r="I129" s="160"/>
    </row>
    <row r="130" spans="2:9">
      <c r="B130" s="160"/>
      <c r="C130" s="160"/>
      <c r="D130" s="160"/>
      <c r="E130" s="160"/>
      <c r="F130" s="160"/>
      <c r="G130" s="160"/>
      <c r="H130" s="201" t="s">
        <v>909</v>
      </c>
      <c r="I130" s="203" t="str">
        <f>IF(COUNTA(D125,D126,D127,D128)&lt;4,"À faire",IFERROR(IF(AND(D125=TRUE,D126=TRUE,D127=TRUE,D128=FALSE),"✓ Correct","À revoir"),"À revoir"))</f>
        <v>À faire</v>
      </c>
    </row>
    <row r="131" spans="2:9">
      <c r="B131" s="160"/>
      <c r="C131" s="160"/>
      <c r="D131" s="160"/>
      <c r="E131" s="160"/>
      <c r="F131" s="160"/>
      <c r="G131" s="160"/>
      <c r="H131" s="160"/>
      <c r="I131" s="160"/>
    </row>
    <row r="132" spans="2:9">
      <c r="B132" s="160"/>
      <c r="C132" s="160"/>
      <c r="D132" s="160"/>
      <c r="E132" s="160"/>
      <c r="F132" s="160"/>
      <c r="G132" s="160"/>
      <c r="H132" s="160"/>
      <c r="I132" s="160"/>
    </row>
    <row r="133" spans="2:9" ht="15">
      <c r="B133" s="531" t="s">
        <v>1188</v>
      </c>
      <c r="C133" s="531"/>
      <c r="D133" s="531"/>
      <c r="E133" s="531"/>
      <c r="F133" s="531"/>
      <c r="G133" s="531"/>
      <c r="H133" s="161" t="s">
        <v>930</v>
      </c>
      <c r="I133" s="141" t="s">
        <v>902</v>
      </c>
    </row>
    <row r="134" spans="2:9" ht="33.950000000000003" customHeight="1">
      <c r="B134" s="532" t="s">
        <v>1189</v>
      </c>
      <c r="C134" s="532"/>
      <c r="D134" s="532"/>
      <c r="E134" s="532"/>
      <c r="F134" s="532"/>
      <c r="G134" s="532"/>
      <c r="H134" s="532"/>
      <c r="I134" s="532"/>
    </row>
    <row r="135" spans="2:9">
      <c r="B135" s="160"/>
      <c r="C135" s="160"/>
      <c r="D135" s="160"/>
      <c r="E135" s="160"/>
      <c r="F135" s="160"/>
      <c r="G135" s="160"/>
      <c r="H135" s="160"/>
      <c r="I135" s="160"/>
    </row>
    <row r="136" spans="2:9">
      <c r="B136" s="162" t="s">
        <v>1097</v>
      </c>
      <c r="C136" s="162" t="s">
        <v>1190</v>
      </c>
      <c r="D136" s="160"/>
      <c r="E136" s="160"/>
      <c r="F136" s="160"/>
      <c r="G136" s="160"/>
      <c r="H136" s="160"/>
      <c r="I136" s="160"/>
    </row>
    <row r="137" spans="2:9">
      <c r="B137" s="163" t="s">
        <v>1098</v>
      </c>
      <c r="C137" s="326"/>
      <c r="D137" s="160"/>
      <c r="E137" s="160"/>
      <c r="F137" s="160"/>
      <c r="G137" s="160"/>
      <c r="H137" s="160"/>
      <c r="I137" s="160"/>
    </row>
    <row r="138" spans="2:9">
      <c r="B138" s="163" t="s">
        <v>1099</v>
      </c>
      <c r="C138" s="326"/>
      <c r="D138" s="160"/>
      <c r="E138" s="160"/>
      <c r="F138" s="160"/>
      <c r="G138" s="160"/>
      <c r="H138" s="160"/>
      <c r="I138" s="160"/>
    </row>
    <row r="139" spans="2:9">
      <c r="B139" s="163" t="s">
        <v>1105</v>
      </c>
      <c r="C139" s="326"/>
      <c r="D139" s="160"/>
      <c r="E139" s="160"/>
      <c r="F139" s="160"/>
      <c r="G139" s="160"/>
      <c r="H139" s="160"/>
      <c r="I139" s="160"/>
    </row>
    <row r="140" spans="2:9">
      <c r="B140" s="163" t="s">
        <v>1191</v>
      </c>
      <c r="C140" s="326"/>
      <c r="D140" s="160"/>
      <c r="E140" s="160"/>
      <c r="F140" s="160"/>
      <c r="G140" s="160"/>
      <c r="H140" s="160"/>
      <c r="I140" s="160"/>
    </row>
    <row r="141" spans="2:9">
      <c r="B141" s="160"/>
      <c r="C141" s="160"/>
      <c r="D141" s="160"/>
      <c r="E141" s="160"/>
      <c r="F141" s="160"/>
      <c r="G141" s="160"/>
      <c r="H141" s="160"/>
      <c r="I141" s="160"/>
    </row>
    <row r="142" spans="2:9">
      <c r="B142" s="160"/>
      <c r="C142" s="160"/>
      <c r="D142" s="160"/>
      <c r="E142" s="160"/>
      <c r="F142" s="160"/>
      <c r="G142" s="160"/>
      <c r="H142" s="201" t="s">
        <v>909</v>
      </c>
      <c r="I142" s="203" t="str">
        <f>IF(COUNTA(C137,C138,C139,C140)&lt;4,"À faire",IFERROR(IF(AND(C137=FALSE,C138=TRUE,C139=TRUE,C140=FALSE),"✓ Correct","À revoir"),"À revoir"))</f>
        <v>À faire</v>
      </c>
    </row>
    <row r="143" spans="2:9">
      <c r="B143" s="160"/>
      <c r="C143" s="160"/>
      <c r="D143" s="160"/>
      <c r="E143" s="160"/>
      <c r="F143" s="160"/>
      <c r="G143" s="160"/>
      <c r="H143" s="160"/>
      <c r="I143" s="160"/>
    </row>
    <row r="144" spans="2:9">
      <c r="B144" s="160"/>
      <c r="C144" s="160"/>
      <c r="D144" s="160"/>
      <c r="E144" s="160"/>
      <c r="F144" s="160"/>
      <c r="G144" s="160"/>
      <c r="H144" s="160"/>
      <c r="I144" s="160"/>
    </row>
    <row r="145" spans="2:9" ht="15">
      <c r="B145" s="530" t="s">
        <v>307</v>
      </c>
      <c r="C145" s="530"/>
      <c r="D145" s="530"/>
      <c r="E145" s="530"/>
      <c r="F145" s="530"/>
      <c r="G145" s="530"/>
      <c r="H145" s="530"/>
      <c r="I145" s="530"/>
    </row>
    <row r="146" spans="2:9">
      <c r="B146" s="160"/>
      <c r="C146" s="160"/>
      <c r="D146" s="160"/>
      <c r="E146" s="160"/>
      <c r="F146" s="160"/>
      <c r="G146" s="160"/>
      <c r="H146" s="160"/>
      <c r="I146" s="160"/>
    </row>
    <row r="147" spans="2:9" ht="15">
      <c r="B147" s="531" t="s">
        <v>1192</v>
      </c>
      <c r="C147" s="531"/>
      <c r="D147" s="531"/>
      <c r="E147" s="531"/>
      <c r="F147" s="531"/>
      <c r="G147" s="531"/>
      <c r="H147" s="161" t="s">
        <v>930</v>
      </c>
      <c r="I147" s="141" t="s">
        <v>902</v>
      </c>
    </row>
    <row r="148" spans="2:9" ht="33.950000000000003" customHeight="1">
      <c r="B148" s="532" t="s">
        <v>1193</v>
      </c>
      <c r="C148" s="532"/>
      <c r="D148" s="532"/>
      <c r="E148" s="532"/>
      <c r="F148" s="532"/>
      <c r="G148" s="532"/>
      <c r="H148" s="532"/>
      <c r="I148" s="532"/>
    </row>
    <row r="149" spans="2:9">
      <c r="B149" s="160"/>
      <c r="C149" s="160"/>
      <c r="D149" s="160"/>
      <c r="E149" s="160"/>
      <c r="F149" s="160"/>
      <c r="G149" s="160"/>
      <c r="H149" s="160"/>
      <c r="I149" s="160"/>
    </row>
    <row r="150" spans="2:9">
      <c r="B150" s="162" t="s">
        <v>1097</v>
      </c>
      <c r="C150" s="162" t="s">
        <v>1194</v>
      </c>
      <c r="D150" s="160"/>
      <c r="E150" s="160"/>
      <c r="F150" s="160"/>
      <c r="G150" s="160"/>
      <c r="H150" s="160"/>
      <c r="I150" s="160"/>
    </row>
    <row r="151" spans="2:9">
      <c r="B151" s="163" t="s">
        <v>1098</v>
      </c>
      <c r="C151" s="326"/>
      <c r="D151" s="160"/>
      <c r="E151" s="160"/>
      <c r="F151" s="160"/>
      <c r="G151" s="160"/>
      <c r="H151" s="160"/>
      <c r="I151" s="160"/>
    </row>
    <row r="152" spans="2:9">
      <c r="B152" s="163" t="s">
        <v>1099</v>
      </c>
      <c r="C152" s="326"/>
      <c r="D152" s="160"/>
      <c r="E152" s="160"/>
      <c r="F152" s="160"/>
      <c r="G152" s="160"/>
      <c r="H152" s="160"/>
      <c r="I152" s="160"/>
    </row>
    <row r="153" spans="2:9">
      <c r="B153" s="163" t="s">
        <v>1105</v>
      </c>
      <c r="C153" s="326"/>
      <c r="D153" s="160"/>
      <c r="E153" s="160"/>
      <c r="F153" s="160"/>
      <c r="G153" s="160"/>
      <c r="H153" s="160"/>
      <c r="I153" s="160"/>
    </row>
    <row r="154" spans="2:9">
      <c r="B154" s="163" t="s">
        <v>1098</v>
      </c>
      <c r="C154" s="326"/>
      <c r="D154" s="160"/>
      <c r="E154" s="160"/>
      <c r="F154" s="160"/>
      <c r="G154" s="160"/>
      <c r="H154" s="160"/>
      <c r="I154" s="160"/>
    </row>
    <row r="155" spans="2:9">
      <c r="B155" s="160"/>
      <c r="C155" s="160"/>
      <c r="D155" s="160"/>
      <c r="E155" s="160"/>
      <c r="F155" s="160"/>
      <c r="G155" s="160"/>
      <c r="H155" s="160"/>
      <c r="I155" s="160"/>
    </row>
    <row r="156" spans="2:9">
      <c r="B156" s="160"/>
      <c r="C156" s="160"/>
      <c r="D156" s="160"/>
      <c r="E156" s="160"/>
      <c r="F156" s="160"/>
      <c r="G156" s="160"/>
      <c r="H156" s="201" t="s">
        <v>909</v>
      </c>
      <c r="I156" s="203" t="str">
        <f>IF(COUNTA(C151,C152,C153,C154)&lt;4,"À faire",IFERROR(IF(AND(C151=FALSE,C152=TRUE,C153=TRUE,C154=FALSE),"✓ Correct","À revoir"),"À revoir"))</f>
        <v>À faire</v>
      </c>
    </row>
    <row r="157" spans="2:9">
      <c r="B157" s="160"/>
      <c r="C157" s="160"/>
      <c r="D157" s="160"/>
      <c r="E157" s="160"/>
      <c r="F157" s="160"/>
      <c r="G157" s="160"/>
      <c r="H157" s="160"/>
      <c r="I157" s="160"/>
    </row>
    <row r="158" spans="2:9">
      <c r="B158" s="160"/>
      <c r="C158" s="160"/>
      <c r="D158" s="160"/>
      <c r="E158" s="160"/>
      <c r="F158" s="160"/>
      <c r="G158" s="160"/>
      <c r="H158" s="160"/>
      <c r="I158" s="160"/>
    </row>
    <row r="159" spans="2:9" ht="15">
      <c r="B159" s="531" t="s">
        <v>1195</v>
      </c>
      <c r="C159" s="531"/>
      <c r="D159" s="531"/>
      <c r="E159" s="531"/>
      <c r="F159" s="531"/>
      <c r="G159" s="531"/>
      <c r="H159" s="161" t="s">
        <v>947</v>
      </c>
      <c r="I159" s="141" t="s">
        <v>902</v>
      </c>
    </row>
    <row r="160" spans="2:9" ht="33.950000000000003" customHeight="1">
      <c r="B160" s="532" t="s">
        <v>1196</v>
      </c>
      <c r="C160" s="532"/>
      <c r="D160" s="532"/>
      <c r="E160" s="532"/>
      <c r="F160" s="532"/>
      <c r="G160" s="532"/>
      <c r="H160" s="532"/>
      <c r="I160" s="532"/>
    </row>
    <row r="161" spans="2:9">
      <c r="B161" s="160"/>
      <c r="C161" s="160"/>
      <c r="D161" s="160"/>
      <c r="E161" s="160"/>
      <c r="F161" s="160"/>
      <c r="G161" s="160"/>
      <c r="H161" s="160"/>
      <c r="I161" s="160"/>
    </row>
    <row r="162" spans="2:9">
      <c r="B162" s="162" t="s">
        <v>1097</v>
      </c>
      <c r="C162" s="162" t="s">
        <v>906</v>
      </c>
      <c r="D162" s="160"/>
      <c r="E162" s="160"/>
      <c r="F162" s="160"/>
      <c r="G162" s="160"/>
      <c r="H162" s="160"/>
      <c r="I162" s="160"/>
    </row>
    <row r="163" spans="2:9">
      <c r="B163" s="163" t="s">
        <v>1098</v>
      </c>
      <c r="C163" s="326"/>
      <c r="D163" s="160"/>
      <c r="E163" s="160"/>
      <c r="F163" s="160"/>
      <c r="G163" s="160"/>
      <c r="H163" s="160"/>
      <c r="I163" s="160"/>
    </row>
    <row r="164" spans="2:9">
      <c r="B164" s="163" t="s">
        <v>1099</v>
      </c>
      <c r="C164" s="326"/>
      <c r="D164" s="160"/>
      <c r="E164" s="160"/>
      <c r="F164" s="160"/>
      <c r="G164" s="160"/>
      <c r="H164" s="160"/>
      <c r="I164" s="160"/>
    </row>
    <row r="165" spans="2:9">
      <c r="B165" s="163" t="s">
        <v>1105</v>
      </c>
      <c r="C165" s="326"/>
      <c r="D165" s="160"/>
      <c r="E165" s="160"/>
      <c r="F165" s="160"/>
      <c r="G165" s="160"/>
      <c r="H165" s="160"/>
      <c r="I165" s="160"/>
    </row>
    <row r="166" spans="2:9">
      <c r="B166" s="163" t="s">
        <v>1191</v>
      </c>
      <c r="C166" s="326"/>
      <c r="D166" s="160"/>
      <c r="E166" s="160"/>
      <c r="F166" s="160"/>
      <c r="G166" s="160"/>
      <c r="H166" s="160"/>
      <c r="I166" s="160"/>
    </row>
    <row r="167" spans="2:9">
      <c r="B167" s="160"/>
      <c r="C167" s="160"/>
      <c r="D167" s="160"/>
      <c r="E167" s="160"/>
      <c r="F167" s="160"/>
      <c r="G167" s="160"/>
      <c r="H167" s="160"/>
      <c r="I167" s="160"/>
    </row>
    <row r="168" spans="2:9">
      <c r="B168" s="160"/>
      <c r="C168" s="160"/>
      <c r="D168" s="160"/>
      <c r="E168" s="160"/>
      <c r="F168" s="160"/>
      <c r="G168" s="160"/>
      <c r="H168" s="201" t="s">
        <v>909</v>
      </c>
      <c r="I168" s="203" t="str">
        <f>IF(COUNTA(C163,C164,C165,C166)&lt;4,"À faire",IFERROR(IF(AND(C163=FALSE,C164=TRUE,C165=FALSE,C166=TRUE),"✓ Correct","À revoir"),"À revoir"))</f>
        <v>À faire</v>
      </c>
    </row>
    <row r="169" spans="2:9">
      <c r="B169" s="160"/>
      <c r="C169" s="160"/>
      <c r="D169" s="160"/>
      <c r="E169" s="160"/>
      <c r="F169" s="160"/>
      <c r="G169" s="160"/>
      <c r="H169" s="160"/>
      <c r="I169" s="160"/>
    </row>
    <row r="170" spans="2:9">
      <c r="B170" s="160"/>
      <c r="C170" s="160"/>
      <c r="D170" s="160"/>
      <c r="E170" s="160"/>
      <c r="F170" s="160"/>
      <c r="G170" s="160"/>
      <c r="H170" s="160"/>
      <c r="I170" s="160"/>
    </row>
    <row r="171" spans="2:9" ht="15">
      <c r="B171" s="530" t="s">
        <v>312</v>
      </c>
      <c r="C171" s="530"/>
      <c r="D171" s="530"/>
      <c r="E171" s="530"/>
      <c r="F171" s="530"/>
      <c r="G171" s="530"/>
      <c r="H171" s="530"/>
      <c r="I171" s="530"/>
    </row>
    <row r="172" spans="2:9">
      <c r="B172" s="160"/>
      <c r="C172" s="160"/>
      <c r="D172" s="160"/>
      <c r="E172" s="160"/>
      <c r="F172" s="160"/>
      <c r="G172" s="160"/>
      <c r="H172" s="160"/>
      <c r="I172" s="160"/>
    </row>
    <row r="173" spans="2:9" ht="15">
      <c r="B173" s="531" t="s">
        <v>1197</v>
      </c>
      <c r="C173" s="531"/>
      <c r="D173" s="531"/>
      <c r="E173" s="531"/>
      <c r="F173" s="531"/>
      <c r="G173" s="531"/>
      <c r="H173" s="161" t="s">
        <v>930</v>
      </c>
      <c r="I173" s="141" t="s">
        <v>902</v>
      </c>
    </row>
    <row r="174" spans="2:9" ht="33.950000000000003" customHeight="1">
      <c r="B174" s="532" t="s">
        <v>1198</v>
      </c>
      <c r="C174" s="532"/>
      <c r="D174" s="532"/>
      <c r="E174" s="532"/>
      <c r="F174" s="532"/>
      <c r="G174" s="532"/>
      <c r="H174" s="532"/>
      <c r="I174" s="532"/>
    </row>
    <row r="175" spans="2:9">
      <c r="B175" s="160"/>
      <c r="C175" s="160"/>
      <c r="D175" s="160"/>
      <c r="E175" s="160"/>
      <c r="F175" s="160"/>
      <c r="G175" s="160"/>
      <c r="H175" s="160"/>
      <c r="I175" s="160"/>
    </row>
    <row r="176" spans="2:9">
      <c r="B176" s="162" t="s">
        <v>1097</v>
      </c>
      <c r="C176" s="162" t="s">
        <v>26</v>
      </c>
      <c r="D176" s="162" t="s">
        <v>1199</v>
      </c>
      <c r="E176" s="160"/>
      <c r="F176" s="160"/>
      <c r="G176" s="160"/>
      <c r="H176" s="160"/>
      <c r="I176" s="160"/>
    </row>
    <row r="177" spans="2:9">
      <c r="B177" s="163" t="s">
        <v>1098</v>
      </c>
      <c r="C177" s="323">
        <v>640</v>
      </c>
      <c r="D177" s="326"/>
      <c r="E177" s="160"/>
      <c r="F177" s="160"/>
      <c r="G177" s="160"/>
      <c r="H177" s="160"/>
      <c r="I177" s="160"/>
    </row>
    <row r="178" spans="2:9">
      <c r="B178" s="163" t="s">
        <v>1098</v>
      </c>
      <c r="C178" s="323">
        <v>300</v>
      </c>
      <c r="D178" s="326"/>
      <c r="E178" s="160"/>
      <c r="F178" s="160"/>
      <c r="G178" s="160"/>
      <c r="H178" s="160"/>
      <c r="I178" s="160"/>
    </row>
    <row r="179" spans="2:9">
      <c r="B179" s="163" t="s">
        <v>1099</v>
      </c>
      <c r="C179" s="323">
        <v>900</v>
      </c>
      <c r="D179" s="326"/>
      <c r="E179" s="160"/>
      <c r="F179" s="160"/>
      <c r="G179" s="160"/>
      <c r="H179" s="160"/>
      <c r="I179" s="160"/>
    </row>
    <row r="180" spans="2:9">
      <c r="B180" s="163" t="s">
        <v>1098</v>
      </c>
      <c r="C180" s="323">
        <v>500</v>
      </c>
      <c r="D180" s="326"/>
      <c r="E180" s="160"/>
      <c r="F180" s="160"/>
      <c r="G180" s="160"/>
      <c r="H180" s="160"/>
      <c r="I180" s="160"/>
    </row>
    <row r="181" spans="2:9">
      <c r="B181" s="160"/>
      <c r="C181" s="160"/>
      <c r="D181" s="160"/>
      <c r="E181" s="160"/>
      <c r="F181" s="160"/>
      <c r="G181" s="160"/>
      <c r="H181" s="160"/>
      <c r="I181" s="160"/>
    </row>
    <row r="182" spans="2:9">
      <c r="B182" s="160"/>
      <c r="C182" s="160"/>
      <c r="D182" s="160"/>
      <c r="E182" s="160"/>
      <c r="F182" s="160"/>
      <c r="G182" s="160"/>
      <c r="H182" s="201" t="s">
        <v>909</v>
      </c>
      <c r="I182" s="203" t="str">
        <f>IF(COUNTA(D177,D178,D179,D180)&lt;4,"À faire",IFERROR(IF(AND(D177="Prioritaire",D178="Standard",D179="Standard",D180="Prioritaire"),"✓ Correct","À revoir"),"À revoir"))</f>
        <v>À faire</v>
      </c>
    </row>
    <row r="183" spans="2:9">
      <c r="B183" s="160"/>
      <c r="C183" s="160"/>
      <c r="D183" s="160"/>
      <c r="E183" s="160"/>
      <c r="F183" s="160"/>
      <c r="G183" s="160"/>
      <c r="H183" s="160"/>
      <c r="I183" s="160"/>
    </row>
    <row r="184" spans="2:9">
      <c r="B184" s="160"/>
      <c r="C184" s="160"/>
      <c r="D184" s="160"/>
      <c r="E184" s="160"/>
      <c r="F184" s="160"/>
      <c r="G184" s="160"/>
      <c r="H184" s="160"/>
      <c r="I184" s="160"/>
    </row>
    <row r="185" spans="2:9" ht="15">
      <c r="B185" s="531" t="s">
        <v>1200</v>
      </c>
      <c r="C185" s="531"/>
      <c r="D185" s="531"/>
      <c r="E185" s="531"/>
      <c r="F185" s="531"/>
      <c r="G185" s="531"/>
      <c r="H185" s="161" t="s">
        <v>947</v>
      </c>
      <c r="I185" s="141" t="s">
        <v>902</v>
      </c>
    </row>
    <row r="186" spans="2:9" ht="33.950000000000003" customHeight="1">
      <c r="B186" s="532" t="s">
        <v>1201</v>
      </c>
      <c r="C186" s="532"/>
      <c r="D186" s="532"/>
      <c r="E186" s="532"/>
      <c r="F186" s="532"/>
      <c r="G186" s="532"/>
      <c r="H186" s="532"/>
      <c r="I186" s="532"/>
    </row>
    <row r="187" spans="2:9">
      <c r="B187" s="160"/>
      <c r="C187" s="160"/>
      <c r="D187" s="160"/>
      <c r="E187" s="160"/>
      <c r="F187" s="160"/>
      <c r="G187" s="160"/>
      <c r="H187" s="160"/>
      <c r="I187" s="160"/>
    </row>
    <row r="188" spans="2:9">
      <c r="B188" s="162" t="s">
        <v>1097</v>
      </c>
      <c r="C188" s="162" t="s">
        <v>26</v>
      </c>
      <c r="D188" s="162" t="s">
        <v>932</v>
      </c>
      <c r="E188" s="162" t="s">
        <v>1199</v>
      </c>
      <c r="F188" s="160"/>
      <c r="G188" s="160"/>
      <c r="H188" s="160"/>
      <c r="I188" s="160"/>
    </row>
    <row r="189" spans="2:9">
      <c r="B189" s="163" t="s">
        <v>1098</v>
      </c>
      <c r="C189" s="323">
        <v>640</v>
      </c>
      <c r="D189" s="325">
        <v>5</v>
      </c>
      <c r="E189" s="326"/>
      <c r="F189" s="160"/>
      <c r="G189" s="160"/>
      <c r="H189" s="160"/>
      <c r="I189" s="160"/>
    </row>
    <row r="190" spans="2:9">
      <c r="B190" s="163" t="s">
        <v>1098</v>
      </c>
      <c r="C190" s="323">
        <v>800</v>
      </c>
      <c r="D190" s="325">
        <v>3</v>
      </c>
      <c r="E190" s="326"/>
      <c r="F190" s="160"/>
      <c r="G190" s="160"/>
      <c r="H190" s="160"/>
      <c r="I190" s="160"/>
    </row>
    <row r="191" spans="2:9">
      <c r="B191" s="163" t="s">
        <v>1099</v>
      </c>
      <c r="C191" s="323">
        <v>900</v>
      </c>
      <c r="D191" s="325">
        <v>7</v>
      </c>
      <c r="E191" s="326"/>
      <c r="F191" s="160"/>
      <c r="G191" s="160"/>
      <c r="H191" s="160"/>
      <c r="I191" s="160"/>
    </row>
    <row r="192" spans="2:9">
      <c r="B192" s="163" t="s">
        <v>1098</v>
      </c>
      <c r="C192" s="323">
        <v>500</v>
      </c>
      <c r="D192" s="325">
        <v>6</v>
      </c>
      <c r="E192" s="326"/>
      <c r="F192" s="160"/>
      <c r="G192" s="160"/>
      <c r="H192" s="160"/>
      <c r="I192" s="160"/>
    </row>
    <row r="193" spans="2:9">
      <c r="B193" s="160"/>
      <c r="C193" s="160"/>
      <c r="D193" s="160"/>
      <c r="E193" s="160"/>
      <c r="F193" s="160"/>
      <c r="G193" s="160"/>
      <c r="H193" s="160"/>
      <c r="I193" s="160"/>
    </row>
    <row r="194" spans="2:9">
      <c r="B194" s="160"/>
      <c r="C194" s="160"/>
      <c r="D194" s="160"/>
      <c r="E194" s="160"/>
      <c r="F194" s="160"/>
      <c r="G194" s="160"/>
      <c r="H194" s="201" t="s">
        <v>909</v>
      </c>
      <c r="I194" s="203" t="str">
        <f>IF(COUNTA(E189,E190,E191,E192)&lt;4,"À faire",IFERROR(IF(AND(E189="Contrôle",E190="Standard",E191="Standard",E192="Contrôle"),"✓ Correct","À revoir"),"À revoir"))</f>
        <v>À faire</v>
      </c>
    </row>
    <row r="195" spans="2:9">
      <c r="B195" s="160"/>
      <c r="C195" s="160"/>
      <c r="D195" s="160"/>
      <c r="E195" s="160"/>
      <c r="F195" s="160"/>
      <c r="G195" s="160"/>
      <c r="H195" s="160"/>
      <c r="I195" s="160"/>
    </row>
    <row r="196" spans="2:9">
      <c r="B196" s="160"/>
      <c r="C196" s="160"/>
      <c r="D196" s="160"/>
      <c r="E196" s="160"/>
      <c r="F196" s="160"/>
      <c r="G196" s="160"/>
      <c r="H196" s="160"/>
      <c r="I196" s="160"/>
    </row>
    <row r="197" spans="2:9" ht="15">
      <c r="B197" s="530" t="s">
        <v>317</v>
      </c>
      <c r="C197" s="530"/>
      <c r="D197" s="530"/>
      <c r="E197" s="530"/>
      <c r="F197" s="530"/>
      <c r="G197" s="530"/>
      <c r="H197" s="530"/>
      <c r="I197" s="530"/>
    </row>
    <row r="198" spans="2:9">
      <c r="B198" s="160"/>
      <c r="C198" s="160"/>
      <c r="D198" s="160"/>
      <c r="E198" s="160"/>
      <c r="F198" s="160"/>
      <c r="G198" s="160"/>
      <c r="H198" s="160"/>
      <c r="I198" s="160"/>
    </row>
    <row r="199" spans="2:9" ht="15">
      <c r="B199" s="531" t="s">
        <v>1202</v>
      </c>
      <c r="C199" s="531"/>
      <c r="D199" s="531"/>
      <c r="E199" s="531"/>
      <c r="F199" s="531"/>
      <c r="G199" s="531"/>
      <c r="H199" s="161" t="s">
        <v>930</v>
      </c>
      <c r="I199" s="141" t="s">
        <v>902</v>
      </c>
    </row>
    <row r="200" spans="2:9" ht="33.950000000000003" customHeight="1">
      <c r="B200" s="532" t="s">
        <v>1203</v>
      </c>
      <c r="C200" s="532"/>
      <c r="D200" s="532"/>
      <c r="E200" s="532"/>
      <c r="F200" s="532"/>
      <c r="G200" s="532"/>
      <c r="H200" s="532"/>
      <c r="I200" s="532"/>
    </row>
    <row r="201" spans="2:9">
      <c r="B201" s="160"/>
      <c r="C201" s="160"/>
      <c r="D201" s="160"/>
      <c r="E201" s="160"/>
      <c r="F201" s="160"/>
      <c r="G201" s="160"/>
      <c r="H201" s="160"/>
      <c r="I201" s="160"/>
    </row>
    <row r="202" spans="2:9">
      <c r="B202" s="162" t="s">
        <v>1097</v>
      </c>
      <c r="C202" s="162" t="s">
        <v>1199</v>
      </c>
      <c r="D202" s="160"/>
      <c r="E202" s="160"/>
      <c r="F202" s="160"/>
      <c r="G202" s="160"/>
      <c r="H202" s="160"/>
      <c r="I202" s="160"/>
    </row>
    <row r="203" spans="2:9">
      <c r="B203" s="163" t="s">
        <v>1098</v>
      </c>
      <c r="C203" s="326"/>
      <c r="D203" s="160"/>
      <c r="E203" s="160"/>
      <c r="F203" s="160"/>
      <c r="G203" s="160"/>
      <c r="H203" s="160"/>
      <c r="I203" s="160"/>
    </row>
    <row r="204" spans="2:9">
      <c r="B204" s="163" t="s">
        <v>1099</v>
      </c>
      <c r="C204" s="326"/>
      <c r="D204" s="160"/>
      <c r="E204" s="160"/>
      <c r="F204" s="160"/>
      <c r="G204" s="160"/>
      <c r="H204" s="160"/>
      <c r="I204" s="160"/>
    </row>
    <row r="205" spans="2:9">
      <c r="B205" s="163" t="s">
        <v>1105</v>
      </c>
      <c r="C205" s="326"/>
      <c r="D205" s="160"/>
      <c r="E205" s="160"/>
      <c r="F205" s="160"/>
      <c r="G205" s="160"/>
      <c r="H205" s="160"/>
      <c r="I205" s="160"/>
    </row>
    <row r="206" spans="2:9">
      <c r="B206" s="163" t="s">
        <v>1191</v>
      </c>
      <c r="C206" s="326"/>
      <c r="D206" s="160"/>
      <c r="E206" s="160"/>
      <c r="F206" s="160"/>
      <c r="G206" s="160"/>
      <c r="H206" s="160"/>
      <c r="I206" s="160"/>
    </row>
    <row r="207" spans="2:9">
      <c r="B207" s="160"/>
      <c r="C207" s="160"/>
      <c r="D207" s="160"/>
      <c r="E207" s="160"/>
      <c r="F207" s="160"/>
      <c r="G207" s="160"/>
      <c r="H207" s="160"/>
      <c r="I207" s="160"/>
    </row>
    <row r="208" spans="2:9">
      <c r="B208" s="160"/>
      <c r="C208" s="160"/>
      <c r="D208" s="160"/>
      <c r="E208" s="160"/>
      <c r="F208" s="160"/>
      <c r="G208" s="160"/>
      <c r="H208" s="201" t="s">
        <v>909</v>
      </c>
      <c r="I208" s="203" t="str">
        <f>IF(COUNTA(C203,C204,C205,C206)&lt;4,"À faire",IFERROR(IF(AND(C203="Aucune action",C204="Contrôle requis",C205="Contrôle requis",C206="Aucune action"),"✓ Correct","À revoir"),"À revoir"))</f>
        <v>À faire</v>
      </c>
    </row>
    <row r="209" spans="2:9">
      <c r="B209" s="160"/>
      <c r="C209" s="160"/>
      <c r="D209" s="160"/>
      <c r="E209" s="160"/>
      <c r="F209" s="160"/>
      <c r="G209" s="160"/>
      <c r="H209" s="160"/>
      <c r="I209" s="160"/>
    </row>
    <row r="210" spans="2:9">
      <c r="B210" s="160"/>
      <c r="C210" s="160"/>
      <c r="D210" s="160"/>
      <c r="E210" s="160"/>
      <c r="F210" s="160"/>
      <c r="G210" s="160"/>
      <c r="H210" s="160"/>
      <c r="I210" s="160"/>
    </row>
    <row r="211" spans="2:9" ht="15">
      <c r="B211" s="531" t="s">
        <v>1204</v>
      </c>
      <c r="C211" s="531"/>
      <c r="D211" s="531"/>
      <c r="E211" s="531"/>
      <c r="F211" s="531"/>
      <c r="G211" s="531"/>
      <c r="H211" s="161" t="s">
        <v>947</v>
      </c>
      <c r="I211" s="141" t="s">
        <v>902</v>
      </c>
    </row>
    <row r="212" spans="2:9" ht="33.950000000000003" customHeight="1">
      <c r="B212" s="532" t="s">
        <v>1205</v>
      </c>
      <c r="C212" s="532"/>
      <c r="D212" s="532"/>
      <c r="E212" s="532"/>
      <c r="F212" s="532"/>
      <c r="G212" s="532"/>
      <c r="H212" s="532"/>
      <c r="I212" s="532"/>
    </row>
    <row r="213" spans="2:9">
      <c r="B213" s="160"/>
      <c r="C213" s="160"/>
      <c r="D213" s="160"/>
      <c r="E213" s="160"/>
      <c r="F213" s="160"/>
      <c r="G213" s="160"/>
      <c r="H213" s="160"/>
      <c r="I213" s="160"/>
    </row>
    <row r="214" spans="2:9">
      <c r="B214" s="162" t="s">
        <v>1097</v>
      </c>
      <c r="C214" s="162" t="s">
        <v>26</v>
      </c>
      <c r="D214" s="162" t="s">
        <v>1199</v>
      </c>
      <c r="E214" s="160"/>
      <c r="F214" s="160"/>
      <c r="G214" s="160"/>
      <c r="H214" s="160"/>
      <c r="I214" s="160"/>
    </row>
    <row r="215" spans="2:9">
      <c r="B215" s="163" t="s">
        <v>1098</v>
      </c>
      <c r="C215" s="323">
        <v>640</v>
      </c>
      <c r="D215" s="326"/>
      <c r="E215" s="160"/>
      <c r="F215" s="160"/>
      <c r="G215" s="160"/>
      <c r="H215" s="160"/>
      <c r="I215" s="160"/>
    </row>
    <row r="216" spans="2:9">
      <c r="B216" s="163" t="s">
        <v>1099</v>
      </c>
      <c r="C216" s="323">
        <v>300</v>
      </c>
      <c r="D216" s="326"/>
      <c r="E216" s="160"/>
      <c r="F216" s="160"/>
      <c r="G216" s="160"/>
      <c r="H216" s="160"/>
      <c r="I216" s="160"/>
    </row>
    <row r="217" spans="2:9">
      <c r="B217" s="163" t="s">
        <v>1098</v>
      </c>
      <c r="C217" s="323">
        <v>900</v>
      </c>
      <c r="D217" s="326"/>
      <c r="E217" s="160"/>
      <c r="F217" s="160"/>
      <c r="G217" s="160"/>
      <c r="H217" s="160"/>
      <c r="I217" s="160"/>
    </row>
    <row r="218" spans="2:9">
      <c r="B218" s="163" t="s">
        <v>1105</v>
      </c>
      <c r="C218" s="323">
        <v>180</v>
      </c>
      <c r="D218" s="326"/>
      <c r="E218" s="160"/>
      <c r="F218" s="160"/>
      <c r="G218" s="160"/>
      <c r="H218" s="160"/>
      <c r="I218" s="160"/>
    </row>
    <row r="219" spans="2:9">
      <c r="B219" s="160"/>
      <c r="C219" s="160"/>
      <c r="D219" s="160"/>
      <c r="E219" s="160"/>
      <c r="F219" s="160"/>
      <c r="G219" s="160"/>
      <c r="H219" s="160"/>
      <c r="I219" s="160"/>
    </row>
    <row r="220" spans="2:9">
      <c r="B220" s="160"/>
      <c r="C220" s="160"/>
      <c r="D220" s="160"/>
      <c r="E220" s="160"/>
      <c r="F220" s="160"/>
      <c r="G220" s="160"/>
      <c r="H220" s="201" t="s">
        <v>909</v>
      </c>
      <c r="I220" s="203" t="str">
        <f>IF(COUNTA(D215,D216,D217,D218)&lt;4,"À faire",IFERROR(IF(AND(D215="Normal",D216="Surveillance",D217="Surveillance",D218="Normal"),"✓ Correct","À revoir"),"À revoir"))</f>
        <v>À faire</v>
      </c>
    </row>
    <row r="221" spans="2:9">
      <c r="B221" s="160"/>
      <c r="C221" s="160"/>
      <c r="D221" s="160"/>
      <c r="E221" s="160"/>
      <c r="F221" s="160"/>
      <c r="G221" s="160"/>
      <c r="H221" s="160"/>
      <c r="I221" s="160"/>
    </row>
    <row r="222" spans="2:9">
      <c r="B222" s="160"/>
      <c r="C222" s="160"/>
      <c r="D222" s="160"/>
      <c r="E222" s="160"/>
      <c r="F222" s="160"/>
      <c r="G222" s="160"/>
      <c r="H222" s="160"/>
      <c r="I222" s="160"/>
    </row>
    <row r="223" spans="2:9" ht="15">
      <c r="B223" s="530" t="s">
        <v>323</v>
      </c>
      <c r="C223" s="530"/>
      <c r="D223" s="530"/>
      <c r="E223" s="530"/>
      <c r="F223" s="530"/>
      <c r="G223" s="530"/>
      <c r="H223" s="530"/>
      <c r="I223" s="530"/>
    </row>
    <row r="224" spans="2:9">
      <c r="B224" s="160"/>
      <c r="C224" s="160"/>
      <c r="D224" s="160"/>
      <c r="E224" s="160"/>
      <c r="F224" s="160"/>
      <c r="G224" s="160"/>
      <c r="H224" s="160"/>
      <c r="I224" s="160"/>
    </row>
    <row r="225" spans="2:9" ht="15">
      <c r="B225" s="531" t="s">
        <v>1206</v>
      </c>
      <c r="C225" s="531"/>
      <c r="D225" s="531"/>
      <c r="E225" s="531"/>
      <c r="F225" s="531"/>
      <c r="G225" s="531"/>
      <c r="H225" s="161" t="s">
        <v>930</v>
      </c>
      <c r="I225" s="141" t="s">
        <v>902</v>
      </c>
    </row>
    <row r="226" spans="2:9" ht="33.950000000000003" customHeight="1">
      <c r="B226" s="532" t="s">
        <v>1207</v>
      </c>
      <c r="C226" s="532"/>
      <c r="D226" s="532"/>
      <c r="E226" s="532"/>
      <c r="F226" s="532"/>
      <c r="G226" s="532"/>
      <c r="H226" s="532"/>
      <c r="I226" s="532"/>
    </row>
    <row r="227" spans="2:9">
      <c r="B227" s="160"/>
      <c r="C227" s="160"/>
      <c r="D227" s="160"/>
      <c r="E227" s="160"/>
      <c r="F227" s="160"/>
      <c r="G227" s="160"/>
      <c r="H227" s="160"/>
      <c r="I227" s="160"/>
    </row>
    <row r="228" spans="2:9">
      <c r="B228" s="162" t="s">
        <v>26</v>
      </c>
      <c r="C228" s="162" t="s">
        <v>1208</v>
      </c>
      <c r="D228" s="160"/>
      <c r="E228" s="160"/>
      <c r="F228" s="160"/>
      <c r="G228" s="160"/>
      <c r="H228" s="160"/>
      <c r="I228" s="160"/>
    </row>
    <row r="229" spans="2:9">
      <c r="B229" s="324">
        <v>900</v>
      </c>
      <c r="C229" s="326"/>
      <c r="D229" s="160"/>
      <c r="E229" s="160"/>
      <c r="F229" s="160"/>
      <c r="G229" s="160"/>
      <c r="H229" s="160"/>
      <c r="I229" s="160"/>
    </row>
    <row r="230" spans="2:9">
      <c r="B230" s="324">
        <v>700</v>
      </c>
      <c r="C230" s="326"/>
      <c r="D230" s="160"/>
      <c r="E230" s="160"/>
      <c r="F230" s="160"/>
      <c r="G230" s="160"/>
      <c r="H230" s="160"/>
      <c r="I230" s="160"/>
    </row>
    <row r="231" spans="2:9">
      <c r="B231" s="324">
        <v>450</v>
      </c>
      <c r="C231" s="326"/>
      <c r="D231" s="160"/>
      <c r="E231" s="160"/>
      <c r="F231" s="160"/>
      <c r="G231" s="160"/>
      <c r="H231" s="160"/>
      <c r="I231" s="160"/>
    </row>
    <row r="232" spans="2:9">
      <c r="B232" s="324">
        <v>300</v>
      </c>
      <c r="C232" s="326"/>
      <c r="D232" s="160"/>
      <c r="E232" s="160"/>
      <c r="F232" s="160"/>
      <c r="G232" s="160"/>
      <c r="H232" s="160"/>
      <c r="I232" s="160"/>
    </row>
    <row r="233" spans="2:9">
      <c r="B233" s="324">
        <v>180</v>
      </c>
      <c r="C233" s="326"/>
      <c r="D233" s="160"/>
      <c r="E233" s="160"/>
      <c r="F233" s="160"/>
      <c r="G233" s="160"/>
      <c r="H233" s="160"/>
      <c r="I233" s="160"/>
    </row>
    <row r="234" spans="2:9">
      <c r="B234" s="160"/>
      <c r="C234" s="160"/>
      <c r="D234" s="160"/>
      <c r="E234" s="160"/>
      <c r="F234" s="160"/>
      <c r="G234" s="160"/>
      <c r="H234" s="160"/>
      <c r="I234" s="160"/>
    </row>
    <row r="235" spans="2:9">
      <c r="B235" s="160"/>
      <c r="C235" s="160"/>
      <c r="D235" s="160"/>
      <c r="E235" s="160"/>
      <c r="F235" s="160"/>
      <c r="G235" s="160"/>
      <c r="H235" s="201" t="s">
        <v>909</v>
      </c>
      <c r="I235" s="203" t="str">
        <f>IF(COUNTA(C229,C230,C231,C232,C233)&lt;5,"À faire",IFERROR(IF(AND(C229="élevé",C230="élevé",C231="moyen",C232="moyen",C233="faible"),"✓ Correct","À revoir"),"À revoir"))</f>
        <v>À faire</v>
      </c>
    </row>
    <row r="236" spans="2:9">
      <c r="B236" s="160"/>
      <c r="C236" s="160"/>
      <c r="D236" s="160"/>
      <c r="E236" s="160"/>
      <c r="F236" s="160"/>
      <c r="G236" s="160"/>
      <c r="H236" s="160"/>
      <c r="I236" s="160"/>
    </row>
    <row r="237" spans="2:9">
      <c r="B237" s="160"/>
      <c r="C237" s="160"/>
      <c r="D237" s="160"/>
      <c r="E237" s="160"/>
      <c r="F237" s="160"/>
      <c r="G237" s="160"/>
      <c r="H237" s="160"/>
      <c r="I237" s="160"/>
    </row>
    <row r="238" spans="2:9" ht="15">
      <c r="B238" s="531" t="s">
        <v>1209</v>
      </c>
      <c r="C238" s="531"/>
      <c r="D238" s="531"/>
      <c r="E238" s="531"/>
      <c r="F238" s="531"/>
      <c r="G238" s="531"/>
      <c r="H238" s="161" t="s">
        <v>947</v>
      </c>
      <c r="I238" s="141" t="s">
        <v>902</v>
      </c>
    </row>
    <row r="239" spans="2:9" ht="33.950000000000003" customHeight="1">
      <c r="B239" s="532" t="s">
        <v>1210</v>
      </c>
      <c r="C239" s="532"/>
      <c r="D239" s="532"/>
      <c r="E239" s="532"/>
      <c r="F239" s="532"/>
      <c r="G239" s="532"/>
      <c r="H239" s="532"/>
      <c r="I239" s="532"/>
    </row>
    <row r="240" spans="2:9">
      <c r="B240" s="160"/>
      <c r="C240" s="160"/>
      <c r="D240" s="160"/>
      <c r="E240" s="160"/>
      <c r="F240" s="160"/>
      <c r="G240" s="160"/>
      <c r="H240" s="160"/>
      <c r="I240" s="160"/>
    </row>
    <row r="241" spans="2:9">
      <c r="B241" s="162" t="s">
        <v>26</v>
      </c>
      <c r="C241" s="162" t="s">
        <v>1208</v>
      </c>
      <c r="D241" s="160"/>
      <c r="E241" s="160"/>
      <c r="F241" s="160"/>
      <c r="G241" s="160"/>
      <c r="H241" s="160"/>
      <c r="I241" s="160"/>
    </row>
    <row r="242" spans="2:9">
      <c r="B242" s="324">
        <v>250</v>
      </c>
      <c r="C242" s="326"/>
      <c r="D242" s="160"/>
      <c r="E242" s="160"/>
      <c r="F242" s="160"/>
      <c r="G242" s="160"/>
      <c r="H242" s="160"/>
      <c r="I242" s="160"/>
    </row>
    <row r="243" spans="2:9">
      <c r="B243" s="324">
        <v>350</v>
      </c>
      <c r="C243" s="326"/>
      <c r="D243" s="160"/>
      <c r="E243" s="160"/>
      <c r="F243" s="160"/>
      <c r="G243" s="160"/>
      <c r="H243" s="160"/>
      <c r="I243" s="160"/>
    </row>
    <row r="244" spans="2:9">
      <c r="B244" s="324">
        <v>750</v>
      </c>
      <c r="C244" s="326"/>
      <c r="D244" s="160"/>
      <c r="E244" s="160"/>
      <c r="F244" s="160"/>
      <c r="G244" s="160"/>
      <c r="H244" s="160"/>
      <c r="I244" s="160"/>
    </row>
    <row r="245" spans="2:9">
      <c r="B245" s="324">
        <v>1200</v>
      </c>
      <c r="C245" s="326"/>
      <c r="D245" s="160"/>
      <c r="E245" s="160"/>
      <c r="F245" s="160"/>
      <c r="G245" s="160"/>
      <c r="H245" s="160"/>
      <c r="I245" s="160"/>
    </row>
    <row r="246" spans="2:9">
      <c r="B246" s="160"/>
      <c r="C246" s="160"/>
      <c r="D246" s="160"/>
      <c r="E246" s="160"/>
      <c r="F246" s="160"/>
      <c r="G246" s="160"/>
      <c r="H246" s="160"/>
      <c r="I246" s="160"/>
    </row>
    <row r="247" spans="2:9">
      <c r="B247" s="160"/>
      <c r="C247" s="160"/>
      <c r="D247" s="160"/>
      <c r="E247" s="160"/>
      <c r="F247" s="160"/>
      <c r="G247" s="160"/>
      <c r="H247" s="201" t="s">
        <v>909</v>
      </c>
      <c r="I247" s="203" t="str">
        <f>IF(COUNTA(C242,C243,C244,C245)&lt;4,"À faire",IFERROR(IF(AND(C242="faible",C243="moyen",C244="élevé",C245="élevé"),"✓ Correct","À revoir"),"À revoir"))</f>
        <v>À faire</v>
      </c>
    </row>
    <row r="248" spans="2:9">
      <c r="B248" s="160"/>
      <c r="C248" s="160"/>
      <c r="D248" s="160"/>
      <c r="E248" s="160"/>
      <c r="F248" s="160"/>
      <c r="G248" s="160"/>
      <c r="H248" s="160"/>
      <c r="I248" s="160"/>
    </row>
    <row r="249" spans="2:9">
      <c r="B249" s="160"/>
      <c r="C249" s="160"/>
      <c r="D249" s="160"/>
      <c r="E249" s="160"/>
      <c r="F249" s="160"/>
      <c r="G249" s="160"/>
      <c r="H249" s="160"/>
      <c r="I249" s="160"/>
    </row>
    <row r="250" spans="2:9" ht="15">
      <c r="B250" s="530" t="s">
        <v>328</v>
      </c>
      <c r="C250" s="530"/>
      <c r="D250" s="530"/>
      <c r="E250" s="530"/>
      <c r="F250" s="530"/>
      <c r="G250" s="530"/>
      <c r="H250" s="530"/>
      <c r="I250" s="530"/>
    </row>
    <row r="251" spans="2:9">
      <c r="B251" s="160"/>
      <c r="C251" s="160"/>
      <c r="D251" s="160"/>
      <c r="E251" s="160"/>
      <c r="F251" s="160"/>
      <c r="G251" s="160"/>
      <c r="H251" s="160"/>
      <c r="I251" s="160"/>
    </row>
    <row r="252" spans="2:9" ht="15">
      <c r="B252" s="531" t="s">
        <v>1211</v>
      </c>
      <c r="C252" s="531"/>
      <c r="D252" s="531"/>
      <c r="E252" s="531"/>
      <c r="F252" s="531"/>
      <c r="G252" s="531"/>
      <c r="H252" s="161" t="s">
        <v>930</v>
      </c>
      <c r="I252" s="146" t="s">
        <v>1126</v>
      </c>
    </row>
    <row r="253" spans="2:9" ht="33.950000000000003" customHeight="1">
      <c r="B253" s="532" t="s">
        <v>1212</v>
      </c>
      <c r="C253" s="532"/>
      <c r="D253" s="532"/>
      <c r="E253" s="532"/>
      <c r="F253" s="532"/>
      <c r="G253" s="532"/>
      <c r="H253" s="532"/>
      <c r="I253" s="532"/>
    </row>
    <row r="254" spans="2:9">
      <c r="B254" s="160"/>
      <c r="C254" s="160"/>
      <c r="D254" s="160"/>
      <c r="E254" s="160"/>
      <c r="F254" s="160"/>
      <c r="G254" s="160"/>
      <c r="H254" s="160"/>
      <c r="I254" s="160"/>
    </row>
    <row r="255" spans="2:9">
      <c r="B255" s="162" t="s">
        <v>26</v>
      </c>
      <c r="C255" s="162" t="s">
        <v>1208</v>
      </c>
      <c r="D255" s="160"/>
      <c r="E255" s="160"/>
      <c r="F255" s="160"/>
      <c r="G255" s="160"/>
      <c r="H255" s="160"/>
      <c r="I255" s="160"/>
    </row>
    <row r="256" spans="2:9">
      <c r="B256" s="324">
        <v>900</v>
      </c>
      <c r="C256" s="326"/>
      <c r="D256" s="160"/>
      <c r="E256" s="160"/>
      <c r="F256" s="160"/>
      <c r="G256" s="160"/>
      <c r="H256" s="160"/>
      <c r="I256" s="160"/>
    </row>
    <row r="257" spans="2:9">
      <c r="B257" s="324">
        <v>450</v>
      </c>
      <c r="C257" s="326"/>
      <c r="D257" s="160"/>
      <c r="E257" s="160"/>
      <c r="F257" s="160"/>
      <c r="G257" s="160"/>
      <c r="H257" s="160"/>
      <c r="I257" s="160"/>
    </row>
    <row r="258" spans="2:9">
      <c r="B258" s="324">
        <v>180</v>
      </c>
      <c r="C258" s="326"/>
      <c r="D258" s="160"/>
      <c r="E258" s="160"/>
      <c r="F258" s="160"/>
      <c r="G258" s="160"/>
      <c r="H258" s="160"/>
      <c r="I258" s="160"/>
    </row>
    <row r="259" spans="2:9">
      <c r="B259" s="324">
        <v>700</v>
      </c>
      <c r="C259" s="326"/>
      <c r="D259" s="160"/>
      <c r="E259" s="160"/>
      <c r="F259" s="160"/>
      <c r="G259" s="160"/>
      <c r="H259" s="160"/>
      <c r="I259" s="160"/>
    </row>
    <row r="260" spans="2:9">
      <c r="B260" s="160"/>
      <c r="C260" s="160"/>
      <c r="D260" s="160"/>
      <c r="E260" s="160"/>
      <c r="F260" s="160"/>
      <c r="G260" s="160"/>
      <c r="H260" s="160"/>
      <c r="I260" s="160"/>
    </row>
    <row r="261" spans="2:9">
      <c r="B261" s="160"/>
      <c r="C261" s="160"/>
      <c r="D261" s="160"/>
      <c r="E261" s="160"/>
      <c r="F261" s="160"/>
      <c r="G261" s="160"/>
      <c r="H261" s="201" t="s">
        <v>909</v>
      </c>
      <c r="I261" s="203" t="str">
        <f>IF(COUNTA(C256,C257,C258,C259)&lt;4,"À faire",IFERROR(IF(AND(C256="élevé",C257="moyen",C258="faible",C259="élevé"),"✓ Correct","À revoir"),"À revoir"))</f>
        <v>À faire</v>
      </c>
    </row>
    <row r="262" spans="2:9">
      <c r="B262" s="160"/>
      <c r="C262" s="160"/>
      <c r="D262" s="160"/>
      <c r="E262" s="160"/>
      <c r="F262" s="160"/>
      <c r="G262" s="160"/>
      <c r="H262" s="160"/>
      <c r="I262" s="160"/>
    </row>
    <row r="263" spans="2:9">
      <c r="B263" s="160"/>
      <c r="C263" s="160"/>
      <c r="D263" s="160"/>
      <c r="E263" s="160"/>
      <c r="F263" s="160"/>
      <c r="G263" s="160"/>
      <c r="H263" s="160"/>
      <c r="I263" s="160"/>
    </row>
    <row r="264" spans="2:9" ht="15">
      <c r="B264" s="531" t="s">
        <v>1213</v>
      </c>
      <c r="C264" s="531"/>
      <c r="D264" s="531"/>
      <c r="E264" s="531"/>
      <c r="F264" s="531"/>
      <c r="G264" s="531"/>
      <c r="H264" s="161" t="s">
        <v>947</v>
      </c>
      <c r="I264" s="146" t="s">
        <v>1126</v>
      </c>
    </row>
    <row r="265" spans="2:9" ht="33.950000000000003" customHeight="1">
      <c r="B265" s="532" t="s">
        <v>1214</v>
      </c>
      <c r="C265" s="532"/>
      <c r="D265" s="532"/>
      <c r="E265" s="532"/>
      <c r="F265" s="532"/>
      <c r="G265" s="532"/>
      <c r="H265" s="532"/>
      <c r="I265" s="532"/>
    </row>
    <row r="266" spans="2:9">
      <c r="B266" s="160"/>
      <c r="C266" s="160"/>
      <c r="D266" s="160"/>
      <c r="E266" s="160"/>
      <c r="F266" s="160"/>
      <c r="G266" s="160"/>
      <c r="H266" s="160"/>
      <c r="I266" s="160"/>
    </row>
    <row r="267" spans="2:9">
      <c r="B267" s="162" t="s">
        <v>26</v>
      </c>
      <c r="C267" s="162" t="s">
        <v>1208</v>
      </c>
      <c r="D267" s="160"/>
      <c r="E267" s="160"/>
      <c r="F267" s="160"/>
      <c r="G267" s="160"/>
      <c r="H267" s="160"/>
      <c r="I267" s="160"/>
    </row>
    <row r="268" spans="2:9">
      <c r="B268" s="324">
        <v>1200</v>
      </c>
      <c r="C268" s="326"/>
      <c r="D268" s="160"/>
      <c r="E268" s="160"/>
      <c r="F268" s="160"/>
      <c r="G268" s="160"/>
      <c r="H268" s="160"/>
      <c r="I268" s="160"/>
    </row>
    <row r="269" spans="2:9">
      <c r="B269" s="324">
        <v>850</v>
      </c>
      <c r="C269" s="326"/>
      <c r="D269" s="160"/>
      <c r="E269" s="160"/>
      <c r="F269" s="160"/>
      <c r="G269" s="160"/>
      <c r="H269" s="160"/>
      <c r="I269" s="160"/>
    </row>
    <row r="270" spans="2:9">
      <c r="B270" s="324">
        <v>450</v>
      </c>
      <c r="C270" s="326"/>
      <c r="D270" s="160"/>
      <c r="E270" s="160"/>
      <c r="F270" s="160"/>
      <c r="G270" s="160"/>
      <c r="H270" s="160"/>
      <c r="I270" s="160"/>
    </row>
    <row r="271" spans="2:9">
      <c r="B271" s="324">
        <v>180</v>
      </c>
      <c r="C271" s="326"/>
      <c r="D271" s="160"/>
      <c r="E271" s="160"/>
      <c r="F271" s="160"/>
      <c r="G271" s="160"/>
      <c r="H271" s="160"/>
      <c r="I271" s="160"/>
    </row>
    <row r="272" spans="2:9">
      <c r="B272" s="160"/>
      <c r="C272" s="160"/>
      <c r="D272" s="160"/>
      <c r="E272" s="160"/>
      <c r="F272" s="160"/>
      <c r="G272" s="160"/>
      <c r="H272" s="160"/>
      <c r="I272" s="160"/>
    </row>
    <row r="273" spans="2:9">
      <c r="B273" s="160"/>
      <c r="C273" s="160"/>
      <c r="D273" s="160"/>
      <c r="E273" s="160"/>
      <c r="F273" s="160"/>
      <c r="G273" s="160"/>
      <c r="H273" s="201" t="s">
        <v>909</v>
      </c>
      <c r="I273" s="203" t="str">
        <f>IF(COUNTA(C268,C269,C270,C271)&lt;4,"À faire",IFERROR(IF(AND(C268="Très élevé",C269="élevé",C270="moyen",C271="faible"),"✓ Correct","À revoir"),"À revoir"))</f>
        <v>À faire</v>
      </c>
    </row>
    <row r="274" spans="2:9">
      <c r="B274" s="160"/>
      <c r="C274" s="160"/>
      <c r="D274" s="160"/>
      <c r="E274" s="160"/>
      <c r="F274" s="160"/>
      <c r="G274" s="160"/>
      <c r="H274" s="160"/>
      <c r="I274" s="160"/>
    </row>
    <row r="275" spans="2:9">
      <c r="B275" s="160"/>
      <c r="C275" s="160"/>
      <c r="D275" s="160"/>
      <c r="E275" s="160"/>
      <c r="F275" s="160"/>
      <c r="G275" s="160"/>
      <c r="H275" s="160"/>
      <c r="I275" s="160"/>
    </row>
    <row r="276" spans="2:9" ht="15">
      <c r="B276" s="530" t="s">
        <v>333</v>
      </c>
      <c r="C276" s="530"/>
      <c r="D276" s="530"/>
      <c r="E276" s="530"/>
      <c r="F276" s="530"/>
      <c r="G276" s="530"/>
      <c r="H276" s="530"/>
      <c r="I276" s="530"/>
    </row>
    <row r="277" spans="2:9">
      <c r="B277" s="160"/>
      <c r="C277" s="160"/>
      <c r="D277" s="160"/>
      <c r="E277" s="160"/>
      <c r="F277" s="160"/>
      <c r="G277" s="160"/>
      <c r="H277" s="160"/>
      <c r="I277" s="160"/>
    </row>
    <row r="278" spans="2:9" ht="15">
      <c r="B278" s="531" t="s">
        <v>1215</v>
      </c>
      <c r="C278" s="531"/>
      <c r="D278" s="531"/>
      <c r="E278" s="531"/>
      <c r="F278" s="531"/>
      <c r="G278" s="531"/>
      <c r="H278" s="161" t="s">
        <v>930</v>
      </c>
      <c r="I278" s="141" t="s">
        <v>902</v>
      </c>
    </row>
    <row r="279" spans="2:9" ht="33.950000000000003" customHeight="1">
      <c r="B279" s="532" t="s">
        <v>1216</v>
      </c>
      <c r="C279" s="532"/>
      <c r="D279" s="532"/>
      <c r="E279" s="532"/>
      <c r="F279" s="532"/>
      <c r="G279" s="532"/>
      <c r="H279" s="532"/>
      <c r="I279" s="532"/>
    </row>
    <row r="280" spans="2:9">
      <c r="B280" s="160"/>
      <c r="C280" s="160"/>
      <c r="D280" s="160"/>
      <c r="E280" s="160"/>
      <c r="F280" s="160"/>
      <c r="G280" s="160"/>
      <c r="H280" s="160"/>
      <c r="I280" s="160"/>
    </row>
    <row r="281" spans="2:9">
      <c r="B281" s="162" t="s">
        <v>26</v>
      </c>
      <c r="C281" s="162" t="s">
        <v>932</v>
      </c>
      <c r="D281" s="162" t="s">
        <v>906</v>
      </c>
      <c r="E281" s="160"/>
      <c r="F281" s="160"/>
      <c r="G281" s="160"/>
      <c r="H281" s="160"/>
      <c r="I281" s="160"/>
    </row>
    <row r="282" spans="2:9">
      <c r="B282" s="324">
        <v>600</v>
      </c>
      <c r="C282" s="325">
        <v>3</v>
      </c>
      <c r="D282" s="326"/>
      <c r="E282" s="160"/>
      <c r="F282" s="160"/>
      <c r="G282" s="160"/>
      <c r="H282" s="160"/>
      <c r="I282" s="160"/>
    </row>
    <row r="283" spans="2:9">
      <c r="B283" s="324">
        <v>450</v>
      </c>
      <c r="C283" s="325">
        <v>0</v>
      </c>
      <c r="D283" s="326"/>
      <c r="E283" s="160"/>
      <c r="F283" s="160"/>
      <c r="G283" s="160"/>
      <c r="H283" s="160"/>
      <c r="I283" s="160"/>
    </row>
    <row r="284" spans="2:9">
      <c r="B284" s="324">
        <v>800</v>
      </c>
      <c r="C284" s="325">
        <v>4</v>
      </c>
      <c r="D284" s="326"/>
      <c r="E284" s="160"/>
      <c r="F284" s="160"/>
      <c r="G284" s="160"/>
      <c r="H284" s="160"/>
      <c r="I284" s="160"/>
    </row>
    <row r="285" spans="2:9">
      <c r="B285" s="324">
        <v>300</v>
      </c>
      <c r="C285" s="325">
        <v>2</v>
      </c>
      <c r="D285" s="326"/>
      <c r="E285" s="160"/>
      <c r="F285" s="160"/>
      <c r="G285" s="160"/>
      <c r="H285" s="160"/>
      <c r="I285" s="160"/>
    </row>
    <row r="286" spans="2:9">
      <c r="B286" s="160"/>
      <c r="C286" s="160"/>
      <c r="D286" s="160"/>
      <c r="E286" s="160"/>
      <c r="F286" s="160"/>
      <c r="G286" s="160"/>
      <c r="H286" s="160"/>
      <c r="I286" s="160"/>
    </row>
    <row r="287" spans="2:9">
      <c r="B287" s="160"/>
      <c r="C287" s="160"/>
      <c r="D287" s="160"/>
      <c r="E287" s="160"/>
      <c r="F287" s="160"/>
      <c r="G287" s="160"/>
      <c r="H287" s="201" t="s">
        <v>909</v>
      </c>
      <c r="I287" s="203" t="str">
        <f>IF(COUNTA(D282,D283,D284,D285)&lt;4,"À faire",IFERROR(IF(AND(ABS(D282-200)&lt;0.0001,D283="Calcul impossible",ABS(D284-200)&lt;0.0001,ABS(D285-150)&lt;0.0001),"✓ Correct","À revoir"),"À revoir"))</f>
        <v>À faire</v>
      </c>
    </row>
    <row r="288" spans="2:9">
      <c r="B288" s="160"/>
      <c r="C288" s="160"/>
      <c r="D288" s="160"/>
      <c r="E288" s="160"/>
      <c r="F288" s="160"/>
      <c r="G288" s="160"/>
      <c r="H288" s="160"/>
      <c r="I288" s="160"/>
    </row>
    <row r="289" spans="2:9">
      <c r="B289" s="160"/>
      <c r="C289" s="160"/>
      <c r="D289" s="160"/>
      <c r="E289" s="160"/>
      <c r="F289" s="160"/>
      <c r="G289" s="160"/>
      <c r="H289" s="160"/>
      <c r="I289" s="160"/>
    </row>
    <row r="290" spans="2:9" ht="15">
      <c r="B290" s="531" t="s">
        <v>1217</v>
      </c>
      <c r="C290" s="531"/>
      <c r="D290" s="531"/>
      <c r="E290" s="531"/>
      <c r="F290" s="531"/>
      <c r="G290" s="531"/>
      <c r="H290" s="161" t="s">
        <v>930</v>
      </c>
      <c r="I290" s="141" t="s">
        <v>902</v>
      </c>
    </row>
    <row r="291" spans="2:9" ht="33.950000000000003" customHeight="1">
      <c r="B291" s="532" t="s">
        <v>1218</v>
      </c>
      <c r="C291" s="532"/>
      <c r="D291" s="532"/>
      <c r="E291" s="532"/>
      <c r="F291" s="532"/>
      <c r="G291" s="532"/>
      <c r="H291" s="532"/>
      <c r="I291" s="532"/>
    </row>
    <row r="292" spans="2:9">
      <c r="B292" s="160"/>
      <c r="C292" s="160"/>
      <c r="D292" s="160"/>
      <c r="E292" s="160"/>
      <c r="F292" s="160"/>
      <c r="G292" s="160"/>
      <c r="H292" s="160"/>
      <c r="I292" s="160"/>
    </row>
    <row r="293" spans="2:9">
      <c r="B293" s="162" t="s">
        <v>1219</v>
      </c>
      <c r="C293" s="162" t="s">
        <v>932</v>
      </c>
      <c r="D293" s="162" t="s">
        <v>933</v>
      </c>
      <c r="E293" s="160"/>
      <c r="F293" s="160"/>
      <c r="G293" s="160"/>
      <c r="H293" s="160"/>
      <c r="I293" s="160"/>
    </row>
    <row r="294" spans="2:9">
      <c r="B294" s="324">
        <v>300</v>
      </c>
      <c r="C294" s="325">
        <v>3</v>
      </c>
      <c r="D294" s="326"/>
      <c r="E294" s="160"/>
      <c r="F294" s="160"/>
      <c r="G294" s="160"/>
      <c r="H294" s="160"/>
      <c r="I294" s="160"/>
    </row>
    <row r="295" spans="2:9">
      <c r="B295" s="324">
        <v>250</v>
      </c>
      <c r="C295" s="325">
        <v>0</v>
      </c>
      <c r="D295" s="326"/>
      <c r="E295" s="160"/>
      <c r="F295" s="160"/>
      <c r="G295" s="160"/>
      <c r="H295" s="160"/>
      <c r="I295" s="160"/>
    </row>
    <row r="296" spans="2:9">
      <c r="B296" s="324">
        <v>120</v>
      </c>
      <c r="C296" s="325">
        <v>2</v>
      </c>
      <c r="D296" s="326"/>
      <c r="E296" s="160"/>
      <c r="F296" s="160"/>
      <c r="G296" s="160"/>
      <c r="H296" s="160"/>
      <c r="I296" s="160"/>
    </row>
    <row r="297" spans="2:9">
      <c r="B297" s="324">
        <v>500</v>
      </c>
      <c r="C297" s="325">
        <v>5</v>
      </c>
      <c r="D297" s="326"/>
      <c r="E297" s="160"/>
      <c r="F297" s="160"/>
      <c r="G297" s="160"/>
      <c r="H297" s="160"/>
      <c r="I297" s="160"/>
    </row>
    <row r="298" spans="2:9">
      <c r="B298" s="160"/>
      <c r="C298" s="160"/>
      <c r="D298" s="160"/>
      <c r="E298" s="160"/>
      <c r="F298" s="160"/>
      <c r="G298" s="160"/>
      <c r="H298" s="160"/>
      <c r="I298" s="160"/>
    </row>
    <row r="299" spans="2:9">
      <c r="B299" s="160"/>
      <c r="C299" s="160"/>
      <c r="D299" s="160"/>
      <c r="E299" s="160"/>
      <c r="F299" s="160"/>
      <c r="G299" s="160"/>
      <c r="H299" s="201" t="s">
        <v>909</v>
      </c>
      <c r="I299" s="203" t="str">
        <f>IF(COUNTA(D294,D295,D296,D297)&lt;4,"À faire",IFERROR(IF(AND(ABS(D294-100)&lt;0.0001,D295="Quantité manquante ou nulle",ABS(D296-60)&lt;0.0001,ABS(D297-100)&lt;0.0001),"✓ Correct","À revoir"),"À revoir"))</f>
        <v>À faire</v>
      </c>
    </row>
    <row r="300" spans="2:9">
      <c r="B300" s="160"/>
      <c r="C300" s="160"/>
      <c r="D300" s="160"/>
      <c r="E300" s="160"/>
      <c r="F300" s="160"/>
      <c r="G300" s="160"/>
      <c r="H300" s="160"/>
      <c r="I300" s="160"/>
    </row>
    <row r="301" spans="2:9">
      <c r="B301" s="160"/>
      <c r="C301" s="160"/>
      <c r="D301" s="160"/>
      <c r="E301" s="160"/>
      <c r="F301" s="160"/>
      <c r="G301" s="160"/>
      <c r="H301" s="160"/>
      <c r="I301" s="160"/>
    </row>
    <row r="302" spans="2:9" ht="15">
      <c r="B302" s="530" t="s">
        <v>339</v>
      </c>
      <c r="C302" s="530"/>
      <c r="D302" s="530"/>
      <c r="E302" s="530"/>
      <c r="F302" s="530"/>
      <c r="G302" s="530"/>
      <c r="H302" s="530"/>
      <c r="I302" s="530"/>
    </row>
    <row r="303" spans="2:9">
      <c r="B303" s="160"/>
      <c r="C303" s="160"/>
      <c r="D303" s="160"/>
      <c r="E303" s="160"/>
      <c r="F303" s="160"/>
      <c r="G303" s="160"/>
      <c r="H303" s="160"/>
      <c r="I303" s="160"/>
    </row>
    <row r="304" spans="2:9" ht="15">
      <c r="B304" s="531" t="s">
        <v>1220</v>
      </c>
      <c r="C304" s="531"/>
      <c r="D304" s="531"/>
      <c r="E304" s="531"/>
      <c r="F304" s="531"/>
      <c r="G304" s="531"/>
      <c r="H304" s="161" t="s">
        <v>947</v>
      </c>
      <c r="I304" s="141" t="s">
        <v>902</v>
      </c>
    </row>
    <row r="305" spans="2:9" ht="33.950000000000003" customHeight="1">
      <c r="B305" s="532" t="s">
        <v>1221</v>
      </c>
      <c r="C305" s="532"/>
      <c r="D305" s="532"/>
      <c r="E305" s="532"/>
      <c r="F305" s="532"/>
      <c r="G305" s="532"/>
      <c r="H305" s="532"/>
      <c r="I305" s="532"/>
    </row>
    <row r="306" spans="2:9">
      <c r="B306" s="160"/>
      <c r="C306" s="160"/>
      <c r="D306" s="160"/>
      <c r="E306" s="160"/>
      <c r="F306" s="160"/>
      <c r="G306" s="160"/>
      <c r="H306" s="160"/>
      <c r="I306" s="160"/>
    </row>
    <row r="307" spans="2:9">
      <c r="B307" s="162" t="s">
        <v>1097</v>
      </c>
      <c r="C307" s="162" t="s">
        <v>26</v>
      </c>
      <c r="D307" s="162" t="s">
        <v>932</v>
      </c>
      <c r="E307" s="162" t="s">
        <v>1199</v>
      </c>
      <c r="F307" s="160"/>
      <c r="G307" s="160"/>
      <c r="H307" s="160"/>
      <c r="I307" s="160"/>
    </row>
    <row r="308" spans="2:9">
      <c r="B308" s="163" t="s">
        <v>1098</v>
      </c>
      <c r="C308" s="323">
        <v>640</v>
      </c>
      <c r="D308" s="325">
        <v>2</v>
      </c>
      <c r="E308" s="326"/>
      <c r="F308" s="160"/>
      <c r="G308" s="160"/>
      <c r="H308" s="160"/>
      <c r="I308" s="160"/>
    </row>
    <row r="309" spans="2:9">
      <c r="B309" s="163" t="s">
        <v>1098</v>
      </c>
      <c r="C309" s="323">
        <v>300</v>
      </c>
      <c r="D309" s="325">
        <v>5</v>
      </c>
      <c r="E309" s="326"/>
      <c r="F309" s="160"/>
      <c r="G309" s="160"/>
      <c r="H309" s="160"/>
      <c r="I309" s="160"/>
    </row>
    <row r="310" spans="2:9">
      <c r="B310" s="163" t="s">
        <v>1098</v>
      </c>
      <c r="C310" s="323">
        <v>300</v>
      </c>
      <c r="D310" s="325">
        <v>2</v>
      </c>
      <c r="E310" s="326"/>
      <c r="F310" s="160"/>
      <c r="G310" s="160"/>
      <c r="H310" s="160"/>
      <c r="I310" s="160"/>
    </row>
    <row r="311" spans="2:9">
      <c r="B311" s="163" t="s">
        <v>1099</v>
      </c>
      <c r="C311" s="323">
        <v>900</v>
      </c>
      <c r="D311" s="325">
        <v>8</v>
      </c>
      <c r="E311" s="326"/>
      <c r="F311" s="160"/>
      <c r="G311" s="160"/>
      <c r="H311" s="160"/>
      <c r="I311" s="160"/>
    </row>
    <row r="312" spans="2:9">
      <c r="B312" s="163" t="s">
        <v>1098</v>
      </c>
      <c r="C312" s="323">
        <v>500</v>
      </c>
      <c r="D312" s="325">
        <v>5</v>
      </c>
      <c r="E312" s="326"/>
      <c r="F312" s="160"/>
      <c r="G312" s="160"/>
      <c r="H312" s="160"/>
      <c r="I312" s="160"/>
    </row>
    <row r="313" spans="2:9">
      <c r="B313" s="160"/>
      <c r="C313" s="160"/>
      <c r="D313" s="160"/>
      <c r="E313" s="160"/>
      <c r="F313" s="160"/>
      <c r="G313" s="160"/>
      <c r="H313" s="160"/>
      <c r="I313" s="160"/>
    </row>
    <row r="314" spans="2:9">
      <c r="B314" s="160"/>
      <c r="C314" s="160"/>
      <c r="D314" s="160"/>
      <c r="E314" s="160"/>
      <c r="F314" s="160"/>
      <c r="G314" s="160"/>
      <c r="H314" s="201" t="s">
        <v>909</v>
      </c>
      <c r="I314" s="203" t="str">
        <f>IF(COUNTA(E308,E309,E310,E311,E312)&lt;5,"À faire",IFERROR(IF(AND(E308="Contrôle",E309="Contrôle",E310="Standard",E311="Standard",E312="Contrôle"),"✓ Correct","À revoir"),"À revoir"))</f>
        <v>À faire</v>
      </c>
    </row>
    <row r="315" spans="2:9">
      <c r="B315" s="160"/>
      <c r="C315" s="160"/>
      <c r="D315" s="160"/>
      <c r="E315" s="160"/>
      <c r="F315" s="160"/>
      <c r="G315" s="160"/>
      <c r="H315" s="160"/>
      <c r="I315" s="160"/>
    </row>
    <row r="316" spans="2:9">
      <c r="B316" s="160"/>
      <c r="C316" s="160"/>
      <c r="D316" s="160"/>
      <c r="E316" s="160"/>
      <c r="F316" s="160"/>
      <c r="G316" s="160"/>
      <c r="H316" s="160"/>
      <c r="I316" s="160"/>
    </row>
  </sheetData>
  <sheetProtection sheet="1" objects="1" scenarios="1" autoFilter="0"/>
  <mergeCells count="58">
    <mergeCell ref="B302:I302"/>
    <mergeCell ref="B304:G304"/>
    <mergeCell ref="B305:I305"/>
    <mergeCell ref="B276:I276"/>
    <mergeCell ref="B278:G278"/>
    <mergeCell ref="B279:I279"/>
    <mergeCell ref="B290:G290"/>
    <mergeCell ref="B291:I291"/>
    <mergeCell ref="B250:I250"/>
    <mergeCell ref="B252:G252"/>
    <mergeCell ref="B253:I253"/>
    <mergeCell ref="B264:G264"/>
    <mergeCell ref="B265:I265"/>
    <mergeCell ref="B223:I223"/>
    <mergeCell ref="B225:G225"/>
    <mergeCell ref="B226:I226"/>
    <mergeCell ref="B238:G238"/>
    <mergeCell ref="B239:I239"/>
    <mergeCell ref="B197:I197"/>
    <mergeCell ref="B199:G199"/>
    <mergeCell ref="B200:I200"/>
    <mergeCell ref="B211:G211"/>
    <mergeCell ref="B212:I212"/>
    <mergeCell ref="B171:I171"/>
    <mergeCell ref="B173:G173"/>
    <mergeCell ref="B174:I174"/>
    <mergeCell ref="B185:G185"/>
    <mergeCell ref="B186:I186"/>
    <mergeCell ref="B145:I145"/>
    <mergeCell ref="B147:G147"/>
    <mergeCell ref="B148:I148"/>
    <mergeCell ref="B159:G159"/>
    <mergeCell ref="B160:I160"/>
    <mergeCell ref="B119:I119"/>
    <mergeCell ref="B121:G121"/>
    <mergeCell ref="B122:I122"/>
    <mergeCell ref="B133:G133"/>
    <mergeCell ref="B134:I134"/>
    <mergeCell ref="B93:I93"/>
    <mergeCell ref="B95:G95"/>
    <mergeCell ref="B96:I96"/>
    <mergeCell ref="B107:G107"/>
    <mergeCell ref="B108:I108"/>
    <mergeCell ref="B59:I59"/>
    <mergeCell ref="B70:G70"/>
    <mergeCell ref="B71:I71"/>
    <mergeCell ref="B82:G82"/>
    <mergeCell ref="B83:I83"/>
    <mergeCell ref="B34:I34"/>
    <mergeCell ref="B45:G45"/>
    <mergeCell ref="B46:I46"/>
    <mergeCell ref="B56:I56"/>
    <mergeCell ref="B58:G58"/>
    <mergeCell ref="B20:I20"/>
    <mergeCell ref="B22:I22"/>
    <mergeCell ref="B24:G24"/>
    <mergeCell ref="B25:I25"/>
    <mergeCell ref="B33:G33"/>
  </mergeCells>
  <conditionalFormatting sqref="I30">
    <cfRule type="expression" dxfId="548" priority="1">
      <formula>I30="✓ Correct"</formula>
    </cfRule>
    <cfRule type="expression" dxfId="547" priority="2">
      <formula>I30="À revoir"</formula>
    </cfRule>
    <cfRule type="expression" dxfId="546" priority="3">
      <formula>I30="À faire"</formula>
    </cfRule>
  </conditionalFormatting>
  <conditionalFormatting sqref="I42">
    <cfRule type="expression" dxfId="545" priority="4">
      <formula>I42="✓ Correct"</formula>
    </cfRule>
    <cfRule type="expression" dxfId="544" priority="5">
      <formula>I42="À revoir"</formula>
    </cfRule>
    <cfRule type="expression" dxfId="543" priority="6">
      <formula>I42="À faire"</formula>
    </cfRule>
  </conditionalFormatting>
  <conditionalFormatting sqref="I53">
    <cfRule type="expression" dxfId="542" priority="7">
      <formula>I53="✓ Correct"</formula>
    </cfRule>
    <cfRule type="expression" dxfId="541" priority="8">
      <formula>I53="À revoir"</formula>
    </cfRule>
    <cfRule type="expression" dxfId="540" priority="9">
      <formula>I53="À faire"</formula>
    </cfRule>
  </conditionalFormatting>
  <conditionalFormatting sqref="I67">
    <cfRule type="expression" dxfId="539" priority="10">
      <formula>I67="✓ Correct"</formula>
    </cfRule>
    <cfRule type="expression" dxfId="538" priority="11">
      <formula>I67="À revoir"</formula>
    </cfRule>
    <cfRule type="expression" dxfId="537" priority="12">
      <formula>I67="À faire"</formula>
    </cfRule>
  </conditionalFormatting>
  <conditionalFormatting sqref="I79">
    <cfRule type="expression" dxfId="536" priority="13">
      <formula>I79="✓ Correct"</formula>
    </cfRule>
    <cfRule type="expression" dxfId="535" priority="14">
      <formula>I79="À revoir"</formula>
    </cfRule>
    <cfRule type="expression" dxfId="534" priority="15">
      <formula>I79="À faire"</formula>
    </cfRule>
  </conditionalFormatting>
  <conditionalFormatting sqref="I90">
    <cfRule type="expression" dxfId="533" priority="16">
      <formula>I90="✓ Correct"</formula>
    </cfRule>
    <cfRule type="expression" dxfId="532" priority="17">
      <formula>I90="À revoir"</formula>
    </cfRule>
    <cfRule type="expression" dxfId="531" priority="18">
      <formula>I90="À faire"</formula>
    </cfRule>
  </conditionalFormatting>
  <conditionalFormatting sqref="I104">
    <cfRule type="expression" dxfId="530" priority="19">
      <formula>I104="✓ Correct"</formula>
    </cfRule>
    <cfRule type="expression" dxfId="529" priority="20">
      <formula>I104="À revoir"</formula>
    </cfRule>
    <cfRule type="expression" dxfId="528" priority="21">
      <formula>I104="À faire"</formula>
    </cfRule>
  </conditionalFormatting>
  <conditionalFormatting sqref="I116">
    <cfRule type="expression" dxfId="527" priority="22">
      <formula>I116="✓ Correct"</formula>
    </cfRule>
    <cfRule type="expression" dxfId="526" priority="23">
      <formula>I116="À revoir"</formula>
    </cfRule>
    <cfRule type="expression" dxfId="525" priority="24">
      <formula>I116="À faire"</formula>
    </cfRule>
  </conditionalFormatting>
  <conditionalFormatting sqref="I130">
    <cfRule type="expression" dxfId="524" priority="25">
      <formula>I130="✓ Correct"</formula>
    </cfRule>
    <cfRule type="expression" dxfId="523" priority="26">
      <formula>I130="À revoir"</formula>
    </cfRule>
    <cfRule type="expression" dxfId="522" priority="27">
      <formula>I130="À faire"</formula>
    </cfRule>
  </conditionalFormatting>
  <conditionalFormatting sqref="I142">
    <cfRule type="expression" dxfId="521" priority="28">
      <formula>I142="✓ Correct"</formula>
    </cfRule>
    <cfRule type="expression" dxfId="520" priority="29">
      <formula>I142="À revoir"</formula>
    </cfRule>
    <cfRule type="expression" dxfId="519" priority="30">
      <formula>I142="À faire"</formula>
    </cfRule>
  </conditionalFormatting>
  <conditionalFormatting sqref="I156">
    <cfRule type="expression" dxfId="518" priority="31">
      <formula>I156="✓ Correct"</formula>
    </cfRule>
    <cfRule type="expression" dxfId="517" priority="32">
      <formula>I156="À revoir"</formula>
    </cfRule>
    <cfRule type="expression" dxfId="516" priority="33">
      <formula>I156="À faire"</formula>
    </cfRule>
  </conditionalFormatting>
  <conditionalFormatting sqref="I168">
    <cfRule type="expression" dxfId="515" priority="34">
      <formula>I168="✓ Correct"</formula>
    </cfRule>
    <cfRule type="expression" dxfId="514" priority="35">
      <formula>I168="À revoir"</formula>
    </cfRule>
    <cfRule type="expression" dxfId="513" priority="36">
      <formula>I168="À faire"</formula>
    </cfRule>
  </conditionalFormatting>
  <conditionalFormatting sqref="I182">
    <cfRule type="expression" dxfId="512" priority="37">
      <formula>I182="✓ Correct"</formula>
    </cfRule>
    <cfRule type="expression" dxfId="511" priority="38">
      <formula>I182="À revoir"</formula>
    </cfRule>
    <cfRule type="expression" dxfId="510" priority="39">
      <formula>I182="À faire"</formula>
    </cfRule>
  </conditionalFormatting>
  <conditionalFormatting sqref="I194">
    <cfRule type="expression" dxfId="509" priority="40">
      <formula>I194="✓ Correct"</formula>
    </cfRule>
    <cfRule type="expression" dxfId="508" priority="41">
      <formula>I194="À revoir"</formula>
    </cfRule>
    <cfRule type="expression" dxfId="507" priority="42">
      <formula>I194="À faire"</formula>
    </cfRule>
  </conditionalFormatting>
  <conditionalFormatting sqref="I208">
    <cfRule type="expression" dxfId="506" priority="43">
      <formula>I208="✓ Correct"</formula>
    </cfRule>
    <cfRule type="expression" dxfId="505" priority="44">
      <formula>I208="À revoir"</formula>
    </cfRule>
    <cfRule type="expression" dxfId="504" priority="45">
      <formula>I208="À faire"</formula>
    </cfRule>
  </conditionalFormatting>
  <conditionalFormatting sqref="I220">
    <cfRule type="expression" dxfId="503" priority="46">
      <formula>I220="✓ Correct"</formula>
    </cfRule>
    <cfRule type="expression" dxfId="502" priority="47">
      <formula>I220="À revoir"</formula>
    </cfRule>
    <cfRule type="expression" dxfId="501" priority="48">
      <formula>I220="À faire"</formula>
    </cfRule>
  </conditionalFormatting>
  <conditionalFormatting sqref="I235">
    <cfRule type="expression" dxfId="500" priority="49">
      <formula>I235="✓ Correct"</formula>
    </cfRule>
    <cfRule type="expression" dxfId="499" priority="50">
      <formula>I235="À revoir"</formula>
    </cfRule>
    <cfRule type="expression" dxfId="498" priority="51">
      <formula>I235="À faire"</formula>
    </cfRule>
  </conditionalFormatting>
  <conditionalFormatting sqref="I247">
    <cfRule type="expression" dxfId="497" priority="52">
      <formula>I247="✓ Correct"</formula>
    </cfRule>
    <cfRule type="expression" dxfId="496" priority="53">
      <formula>I247="À revoir"</formula>
    </cfRule>
    <cfRule type="expression" dxfId="495" priority="54">
      <formula>I247="À faire"</formula>
    </cfRule>
  </conditionalFormatting>
  <conditionalFormatting sqref="I261">
    <cfRule type="expression" dxfId="494" priority="55">
      <formula>I261="✓ Correct"</formula>
    </cfRule>
    <cfRule type="expression" dxfId="493" priority="56">
      <formula>I261="À revoir"</formula>
    </cfRule>
    <cfRule type="expression" dxfId="492" priority="57">
      <formula>I261="À faire"</formula>
    </cfRule>
  </conditionalFormatting>
  <conditionalFormatting sqref="I273">
    <cfRule type="expression" dxfId="491" priority="58">
      <formula>I273="✓ Correct"</formula>
    </cfRule>
    <cfRule type="expression" dxfId="490" priority="59">
      <formula>I273="À revoir"</formula>
    </cfRule>
    <cfRule type="expression" dxfId="489" priority="60">
      <formula>I273="À faire"</formula>
    </cfRule>
  </conditionalFormatting>
  <conditionalFormatting sqref="I287">
    <cfRule type="expression" dxfId="488" priority="61">
      <formula>I287="✓ Correct"</formula>
    </cfRule>
    <cfRule type="expression" dxfId="487" priority="62">
      <formula>I287="À revoir"</formula>
    </cfRule>
    <cfRule type="expression" dxfId="486" priority="63">
      <formula>I287="À faire"</formula>
    </cfRule>
  </conditionalFormatting>
  <conditionalFormatting sqref="I299">
    <cfRule type="expression" dxfId="485" priority="64">
      <formula>I299="✓ Correct"</formula>
    </cfRule>
    <cfRule type="expression" dxfId="484" priority="65">
      <formula>I299="À revoir"</formula>
    </cfRule>
    <cfRule type="expression" dxfId="483" priority="66">
      <formula>I299="À faire"</formula>
    </cfRule>
  </conditionalFormatting>
  <conditionalFormatting sqref="I314">
    <cfRule type="expression" dxfId="482" priority="67">
      <formula>I314="✓ Correct"</formula>
    </cfRule>
    <cfRule type="expression" dxfId="481" priority="68">
      <formula>I314="À revoir"</formula>
    </cfRule>
    <cfRule type="expression" dxfId="480" priority="69">
      <formula>I314="À faire"</formula>
    </cfRule>
  </conditionalFormatting>
  <hyperlinks>
    <hyperlink ref="I2" location="SOMMAIRE!A1" display="SOMMAIR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03"/>
  <sheetViews>
    <sheetView showGridLines="0" workbookViewId="0"/>
  </sheetViews>
  <sheetFormatPr baseColWidth="10" defaultColWidth="9" defaultRowHeight="14.25"/>
  <cols>
    <col min="1" max="1" width="3" customWidth="1"/>
    <col min="2" max="2" width="26" customWidth="1"/>
    <col min="3" max="3" width="20" customWidth="1"/>
    <col min="4" max="4" width="31.5" customWidth="1"/>
    <col min="5" max="7" width="20" customWidth="1"/>
    <col min="8" max="9" width="18" customWidth="1"/>
    <col min="10" max="10" width="13" customWidth="1"/>
  </cols>
  <sheetData>
    <row r="1" spans="1:10">
      <c r="A1" s="42"/>
      <c r="B1" s="42"/>
      <c r="C1" s="42"/>
      <c r="D1" s="42"/>
      <c r="E1" s="42"/>
      <c r="F1" s="42"/>
      <c r="G1" s="42"/>
      <c r="H1" s="42"/>
      <c r="I1" s="42"/>
      <c r="J1" s="42"/>
    </row>
    <row r="2" spans="1:10" ht="19.5">
      <c r="A2" s="42"/>
      <c r="B2" s="43" t="s">
        <v>346</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348</v>
      </c>
      <c r="C7" s="46" t="s">
        <v>349</v>
      </c>
    </row>
    <row r="8" spans="1:10" ht="33.950000000000003" customHeight="1">
      <c r="B8" s="47" t="s">
        <v>351</v>
      </c>
      <c r="C8" s="46" t="s">
        <v>352</v>
      </c>
    </row>
    <row r="9" spans="1:10" ht="33.950000000000003" customHeight="1">
      <c r="B9" s="47" t="s">
        <v>355</v>
      </c>
      <c r="C9" s="46" t="s">
        <v>356</v>
      </c>
    </row>
    <row r="10" spans="1:10" ht="33.950000000000003" customHeight="1">
      <c r="B10" s="47" t="s">
        <v>358</v>
      </c>
      <c r="C10" s="46" t="s">
        <v>359</v>
      </c>
    </row>
    <row r="11" spans="1:10" ht="33.950000000000003" customHeight="1">
      <c r="B11" s="47" t="s">
        <v>361</v>
      </c>
      <c r="C11" s="46" t="s">
        <v>362</v>
      </c>
    </row>
    <row r="12" spans="1:10" ht="33.950000000000003" customHeight="1">
      <c r="B12" s="47" t="s">
        <v>365</v>
      </c>
      <c r="C12" s="46" t="s">
        <v>366</v>
      </c>
    </row>
    <row r="13" spans="1:10" ht="33.950000000000003" customHeight="1">
      <c r="B13" s="47" t="s">
        <v>368</v>
      </c>
      <c r="C13" s="46" t="s">
        <v>369</v>
      </c>
    </row>
    <row r="14" spans="1:10" ht="33.950000000000003" customHeight="1">
      <c r="B14" s="47" t="s">
        <v>372</v>
      </c>
      <c r="C14" s="46" t="s">
        <v>373</v>
      </c>
    </row>
    <row r="15" spans="1:10" ht="33.950000000000003" customHeight="1">
      <c r="B15" s="47" t="s">
        <v>375</v>
      </c>
      <c r="C15" s="46" t="s">
        <v>376</v>
      </c>
    </row>
    <row r="16" spans="1:10" ht="33.950000000000003" customHeight="1">
      <c r="B16" s="47" t="s">
        <v>379</v>
      </c>
      <c r="C16" s="46" t="s">
        <v>380</v>
      </c>
    </row>
    <row r="17" spans="2:9" ht="33.950000000000003" customHeight="1">
      <c r="B17" s="47" t="s">
        <v>382</v>
      </c>
      <c r="C17" s="46" t="s">
        <v>383</v>
      </c>
    </row>
    <row r="18" spans="2:9" ht="33.950000000000003" customHeight="1">
      <c r="B18" s="47" t="s">
        <v>386</v>
      </c>
      <c r="C18" s="46" t="s">
        <v>387</v>
      </c>
    </row>
    <row r="19" spans="2:9" ht="33.950000000000003" customHeight="1">
      <c r="B19" s="47" t="s">
        <v>389</v>
      </c>
      <c r="C19" s="46" t="s">
        <v>390</v>
      </c>
    </row>
    <row r="20" spans="2:9" ht="33.950000000000003" customHeight="1">
      <c r="B20" s="47" t="s">
        <v>393</v>
      </c>
      <c r="C20" s="46" t="s">
        <v>394</v>
      </c>
    </row>
    <row r="21" spans="2:9" ht="33.950000000000003" customHeight="1">
      <c r="B21" s="35" t="s">
        <v>396</v>
      </c>
      <c r="C21" s="34" t="s">
        <v>397</v>
      </c>
    </row>
    <row r="24" spans="2:9" ht="26.1" customHeight="1">
      <c r="B24" s="533" t="s">
        <v>1222</v>
      </c>
      <c r="C24" s="533"/>
      <c r="D24" s="533"/>
      <c r="E24" s="533"/>
      <c r="F24" s="533"/>
      <c r="G24" s="533"/>
      <c r="H24" s="533"/>
      <c r="I24" s="533"/>
    </row>
    <row r="26" spans="2:9" ht="24" customHeight="1">
      <c r="B26" s="534" t="s">
        <v>348</v>
      </c>
      <c r="C26" s="534"/>
      <c r="D26" s="534"/>
      <c r="E26" s="534"/>
      <c r="F26" s="534"/>
      <c r="G26" s="534"/>
      <c r="H26" s="534"/>
      <c r="I26" s="534"/>
    </row>
    <row r="28" spans="2:9" ht="24" customHeight="1">
      <c r="B28" s="536" t="s">
        <v>1223</v>
      </c>
      <c r="C28" s="536"/>
      <c r="D28" s="536"/>
      <c r="E28" s="536"/>
      <c r="F28" s="536"/>
      <c r="G28" s="536"/>
      <c r="H28" s="164" t="s">
        <v>901</v>
      </c>
      <c r="I28" s="123" t="s">
        <v>902</v>
      </c>
    </row>
    <row r="29" spans="2:9" ht="24" customHeight="1">
      <c r="B29" s="535" t="s">
        <v>1224</v>
      </c>
      <c r="C29" s="535"/>
      <c r="D29" s="535"/>
      <c r="E29" s="535"/>
      <c r="F29" s="535"/>
      <c r="G29" s="535"/>
      <c r="H29" s="535"/>
      <c r="I29" s="535"/>
    </row>
    <row r="30" spans="2:9" ht="24" customHeight="1">
      <c r="B30" s="535"/>
      <c r="C30" s="535"/>
      <c r="D30" s="535"/>
      <c r="E30" s="535"/>
      <c r="F30" s="535"/>
      <c r="G30" s="535"/>
      <c r="H30" s="535"/>
      <c r="I30" s="535"/>
    </row>
    <row r="32" spans="2:9">
      <c r="B32" s="165" t="s">
        <v>1225</v>
      </c>
      <c r="C32" s="165" t="s">
        <v>906</v>
      </c>
    </row>
    <row r="33" spans="2:9">
      <c r="B33" s="166" t="s">
        <v>1226</v>
      </c>
      <c r="C33" s="342"/>
    </row>
    <row r="35" spans="2:9">
      <c r="H35" s="201" t="s">
        <v>909</v>
      </c>
      <c r="I35" s="203" t="str">
        <f>IF(COUNTA(C33)&lt;1,"À faire",IFERROR(IF(AND(C33="CMD"),"✓ Correct","À revoir"),"À revoir"))</f>
        <v>À faire</v>
      </c>
    </row>
    <row r="38" spans="2:9" ht="24" customHeight="1">
      <c r="B38" s="536" t="s">
        <v>1227</v>
      </c>
      <c r="C38" s="536"/>
      <c r="D38" s="536"/>
      <c r="E38" s="536"/>
      <c r="F38" s="536"/>
      <c r="G38" s="536"/>
      <c r="H38" s="164" t="s">
        <v>930</v>
      </c>
      <c r="I38" s="123" t="s">
        <v>902</v>
      </c>
    </row>
    <row r="39" spans="2:9" ht="24" customHeight="1">
      <c r="B39" s="535" t="s">
        <v>1228</v>
      </c>
      <c r="C39" s="535"/>
      <c r="D39" s="535"/>
      <c r="E39" s="535"/>
      <c r="F39" s="535"/>
      <c r="G39" s="535"/>
      <c r="H39" s="535"/>
      <c r="I39" s="535"/>
    </row>
    <row r="40" spans="2:9" ht="24" customHeight="1">
      <c r="B40" s="535"/>
      <c r="C40" s="535"/>
      <c r="D40" s="535"/>
      <c r="E40" s="535"/>
      <c r="F40" s="535"/>
      <c r="G40" s="535"/>
      <c r="H40" s="535"/>
      <c r="I40" s="535"/>
    </row>
    <row r="42" spans="2:9">
      <c r="B42" s="165" t="s">
        <v>1225</v>
      </c>
      <c r="C42" s="165" t="s">
        <v>906</v>
      </c>
    </row>
    <row r="43" spans="2:9">
      <c r="B43" s="166" t="s">
        <v>1229</v>
      </c>
      <c r="C43" s="327"/>
    </row>
    <row r="45" spans="2:9">
      <c r="H45" s="201" t="s">
        <v>909</v>
      </c>
      <c r="I45" s="203" t="str">
        <f>IF(COUNTA(C43)&lt;1,"À faire",IFERROR(IF(AND(C43="A"),"✓ Correct","À revoir"),"À revoir"))</f>
        <v>À faire</v>
      </c>
    </row>
    <row r="48" spans="2:9" ht="24" customHeight="1">
      <c r="B48" s="534" t="s">
        <v>351</v>
      </c>
      <c r="C48" s="534"/>
      <c r="D48" s="534"/>
      <c r="E48" s="534"/>
      <c r="F48" s="534"/>
      <c r="G48" s="534"/>
      <c r="H48" s="534"/>
      <c r="I48" s="534"/>
    </row>
    <row r="50" spans="2:9" ht="24" customHeight="1">
      <c r="B50" s="536" t="s">
        <v>1230</v>
      </c>
      <c r="C50" s="536"/>
      <c r="D50" s="536"/>
      <c r="E50" s="536"/>
      <c r="F50" s="536"/>
      <c r="G50" s="536"/>
      <c r="H50" s="164" t="s">
        <v>901</v>
      </c>
      <c r="I50" s="123" t="s">
        <v>902</v>
      </c>
    </row>
    <row r="51" spans="2:9" ht="24" customHeight="1">
      <c r="B51" s="535" t="s">
        <v>1231</v>
      </c>
      <c r="C51" s="535"/>
      <c r="D51" s="535"/>
      <c r="E51" s="535"/>
      <c r="F51" s="535"/>
      <c r="G51" s="535"/>
      <c r="H51" s="535"/>
      <c r="I51" s="535"/>
    </row>
    <row r="52" spans="2:9" ht="24" customHeight="1">
      <c r="B52" s="535"/>
      <c r="C52" s="535"/>
      <c r="D52" s="535"/>
      <c r="E52" s="535"/>
      <c r="F52" s="535"/>
      <c r="G52" s="535"/>
      <c r="H52" s="535"/>
      <c r="I52" s="535"/>
    </row>
    <row r="54" spans="2:9">
      <c r="B54" s="165" t="s">
        <v>1225</v>
      </c>
      <c r="C54" s="165" t="s">
        <v>906</v>
      </c>
    </row>
    <row r="55" spans="2:9">
      <c r="B55" s="166" t="s">
        <v>1226</v>
      </c>
      <c r="C55" s="327"/>
    </row>
    <row r="57" spans="2:9">
      <c r="H57" s="201" t="s">
        <v>909</v>
      </c>
      <c r="I57" s="203" t="str">
        <f>IF(COUNTA(C55)&lt;1,"À faire",IFERROR(IF(AND(C55="001"),"✓ Correct","À revoir"),"À revoir"))</f>
        <v>À faire</v>
      </c>
    </row>
    <row r="60" spans="2:9" ht="24" customHeight="1">
      <c r="B60" s="536" t="s">
        <v>1232</v>
      </c>
      <c r="C60" s="536"/>
      <c r="D60" s="536"/>
      <c r="E60" s="536"/>
      <c r="F60" s="536"/>
      <c r="G60" s="536"/>
      <c r="H60" s="164" t="s">
        <v>930</v>
      </c>
      <c r="I60" s="123" t="s">
        <v>902</v>
      </c>
    </row>
    <row r="61" spans="2:9" ht="24" customHeight="1">
      <c r="B61" s="535" t="s">
        <v>1233</v>
      </c>
      <c r="C61" s="535"/>
      <c r="D61" s="535"/>
      <c r="E61" s="535"/>
      <c r="F61" s="535"/>
      <c r="G61" s="535"/>
      <c r="H61" s="535"/>
      <c r="I61" s="535"/>
    </row>
    <row r="62" spans="2:9" ht="24" customHeight="1">
      <c r="B62" s="535"/>
      <c r="C62" s="535"/>
      <c r="D62" s="535"/>
      <c r="E62" s="535"/>
      <c r="F62" s="535"/>
      <c r="G62" s="535"/>
      <c r="H62" s="535"/>
      <c r="I62" s="535"/>
    </row>
    <row r="64" spans="2:9">
      <c r="B64" s="165" t="s">
        <v>1234</v>
      </c>
      <c r="C64" s="165" t="s">
        <v>906</v>
      </c>
    </row>
    <row r="65" spans="2:9">
      <c r="B65" s="166" t="s">
        <v>1235</v>
      </c>
      <c r="C65" s="327"/>
    </row>
    <row r="67" spans="2:9">
      <c r="H67" s="201" t="s">
        <v>909</v>
      </c>
      <c r="I67" s="203" t="str">
        <f>IF(COUNTA(C65)&lt;1,"À faire",IFERROR(IF(AND(C65="fr"),"✓ Correct","À revoir"),"À revoir"))</f>
        <v>À faire</v>
      </c>
    </row>
    <row r="70" spans="2:9" ht="24" customHeight="1">
      <c r="B70" s="534" t="s">
        <v>355</v>
      </c>
      <c r="C70" s="534"/>
      <c r="D70" s="534"/>
      <c r="E70" s="534"/>
      <c r="F70" s="534"/>
      <c r="G70" s="534"/>
      <c r="H70" s="534"/>
      <c r="I70" s="534"/>
    </row>
    <row r="72" spans="2:9" ht="24" customHeight="1">
      <c r="B72" s="536" t="s">
        <v>1236</v>
      </c>
      <c r="C72" s="536"/>
      <c r="D72" s="536"/>
      <c r="E72" s="536"/>
      <c r="F72" s="536"/>
      <c r="G72" s="536"/>
      <c r="H72" s="164" t="s">
        <v>901</v>
      </c>
      <c r="I72" s="123" t="s">
        <v>902</v>
      </c>
    </row>
    <row r="73" spans="2:9" ht="24" customHeight="1">
      <c r="B73" s="535" t="s">
        <v>1237</v>
      </c>
      <c r="C73" s="535"/>
      <c r="D73" s="535"/>
      <c r="E73" s="535"/>
      <c r="F73" s="535"/>
      <c r="G73" s="535"/>
      <c r="H73" s="535"/>
      <c r="I73" s="535"/>
    </row>
    <row r="74" spans="2:9" ht="24" customHeight="1">
      <c r="B74" s="535"/>
      <c r="C74" s="535"/>
      <c r="D74" s="535"/>
      <c r="E74" s="535"/>
      <c r="F74" s="535"/>
      <c r="G74" s="535"/>
      <c r="H74" s="535"/>
      <c r="I74" s="535"/>
    </row>
    <row r="76" spans="2:9">
      <c r="B76" s="165" t="s">
        <v>1225</v>
      </c>
      <c r="C76" s="165" t="s">
        <v>906</v>
      </c>
    </row>
    <row r="77" spans="2:9">
      <c r="B77" s="166" t="s">
        <v>1238</v>
      </c>
      <c r="C77" s="327"/>
    </row>
    <row r="79" spans="2:9">
      <c r="H79" s="201" t="s">
        <v>909</v>
      </c>
      <c r="I79" s="203" t="str">
        <f>IF(COUNTA(C77)&lt;1,"À faire",IFERROR(IF(AND(C77="75"),"✓ Correct","À revoir"),"À revoir"))</f>
        <v>À faire</v>
      </c>
    </row>
    <row r="82" spans="2:9" ht="24" customHeight="1">
      <c r="B82" s="536" t="s">
        <v>1239</v>
      </c>
      <c r="C82" s="536"/>
      <c r="D82" s="536"/>
      <c r="E82" s="536"/>
      <c r="F82" s="536"/>
      <c r="G82" s="536"/>
      <c r="H82" s="164" t="s">
        <v>930</v>
      </c>
      <c r="I82" s="123" t="s">
        <v>902</v>
      </c>
    </row>
    <row r="83" spans="2:9" ht="24" customHeight="1">
      <c r="B83" s="535" t="s">
        <v>1240</v>
      </c>
      <c r="C83" s="535"/>
      <c r="D83" s="535"/>
      <c r="E83" s="535"/>
      <c r="F83" s="535"/>
      <c r="G83" s="535"/>
      <c r="H83" s="535"/>
      <c r="I83" s="535"/>
    </row>
    <row r="84" spans="2:9" ht="24" customHeight="1">
      <c r="B84" s="535"/>
      <c r="C84" s="535"/>
      <c r="D84" s="535"/>
      <c r="E84" s="535"/>
      <c r="F84" s="535"/>
      <c r="G84" s="535"/>
      <c r="H84" s="535"/>
      <c r="I84" s="535"/>
    </row>
    <row r="86" spans="2:9">
      <c r="B86" s="165" t="s">
        <v>1225</v>
      </c>
      <c r="C86" s="165" t="s">
        <v>906</v>
      </c>
    </row>
    <row r="87" spans="2:9">
      <c r="B87" s="166" t="s">
        <v>1226</v>
      </c>
      <c r="C87" s="327"/>
    </row>
    <row r="89" spans="2:9">
      <c r="H89" s="201" t="s">
        <v>909</v>
      </c>
      <c r="I89" s="203" t="str">
        <f>IF(COUNTA(C87)&lt;1,"À faire",IFERROR(IF(AND(C87="2026"),"✓ Correct","À revoir"),"À revoir"))</f>
        <v>À faire</v>
      </c>
    </row>
    <row r="92" spans="2:9" ht="24" customHeight="1">
      <c r="B92" s="534" t="s">
        <v>358</v>
      </c>
      <c r="C92" s="534"/>
      <c r="D92" s="534"/>
      <c r="E92" s="534"/>
      <c r="F92" s="534"/>
      <c r="G92" s="534"/>
      <c r="H92" s="534"/>
      <c r="I92" s="534"/>
    </row>
    <row r="94" spans="2:9" ht="24" customHeight="1">
      <c r="B94" s="536" t="s">
        <v>1241</v>
      </c>
      <c r="C94" s="536"/>
      <c r="D94" s="536"/>
      <c r="E94" s="536"/>
      <c r="F94" s="536"/>
      <c r="G94" s="536"/>
      <c r="H94" s="164" t="s">
        <v>901</v>
      </c>
      <c r="I94" s="123" t="s">
        <v>902</v>
      </c>
    </row>
    <row r="95" spans="2:9" ht="24" customHeight="1">
      <c r="B95" s="535" t="s">
        <v>1242</v>
      </c>
      <c r="C95" s="535"/>
      <c r="D95" s="535"/>
      <c r="E95" s="535"/>
      <c r="F95" s="535"/>
      <c r="G95" s="535"/>
      <c r="H95" s="535"/>
      <c r="I95" s="535"/>
    </row>
    <row r="96" spans="2:9" ht="24" customHeight="1">
      <c r="B96" s="535"/>
      <c r="C96" s="535"/>
      <c r="D96" s="535"/>
      <c r="E96" s="535"/>
      <c r="F96" s="535"/>
      <c r="G96" s="535"/>
      <c r="H96" s="535"/>
      <c r="I96" s="535"/>
    </row>
    <row r="98" spans="2:9">
      <c r="B98" s="165" t="s">
        <v>1225</v>
      </c>
      <c r="C98" s="165" t="s">
        <v>1243</v>
      </c>
    </row>
    <row r="99" spans="2:9">
      <c r="B99" s="166" t="s">
        <v>1226</v>
      </c>
      <c r="C99" s="327"/>
    </row>
    <row r="101" spans="2:9">
      <c r="H101" s="201" t="s">
        <v>909</v>
      </c>
      <c r="I101" s="203" t="str">
        <f>IF(COUNTA(C99)&lt;1,"À faire",IFERROR(IF(AND(ABS(C99-12)&lt;0.0001),"✓ Correct","À revoir"),"À revoir"))</f>
        <v>À faire</v>
      </c>
    </row>
    <row r="104" spans="2:9" ht="24" customHeight="1">
      <c r="B104" s="536" t="s">
        <v>1244</v>
      </c>
      <c r="C104" s="536"/>
      <c r="D104" s="536"/>
      <c r="E104" s="536"/>
      <c r="F104" s="536"/>
      <c r="G104" s="536"/>
      <c r="H104" s="164" t="s">
        <v>930</v>
      </c>
      <c r="I104" s="123" t="s">
        <v>902</v>
      </c>
    </row>
    <row r="105" spans="2:9" ht="24" customHeight="1">
      <c r="B105" s="535" t="s">
        <v>1245</v>
      </c>
      <c r="C105" s="535"/>
      <c r="D105" s="535"/>
      <c r="E105" s="535"/>
      <c r="F105" s="535"/>
      <c r="G105" s="535"/>
      <c r="H105" s="535"/>
      <c r="I105" s="535"/>
    </row>
    <row r="106" spans="2:9" ht="24" customHeight="1">
      <c r="B106" s="535"/>
      <c r="C106" s="535"/>
      <c r="D106" s="535"/>
      <c r="E106" s="535"/>
      <c r="F106" s="535"/>
      <c r="G106" s="535"/>
      <c r="H106" s="535"/>
      <c r="I106" s="535"/>
    </row>
    <row r="108" spans="2:9">
      <c r="B108" s="165" t="s">
        <v>1246</v>
      </c>
      <c r="C108" s="165" t="s">
        <v>1243</v>
      </c>
    </row>
    <row r="109" spans="2:9">
      <c r="B109" s="166" t="str">
        <f>"Martin"&amp;REPT(" ",1)</f>
        <v xml:space="preserve">Martin </v>
      </c>
      <c r="C109" s="327"/>
    </row>
    <row r="111" spans="2:9">
      <c r="H111" s="201" t="s">
        <v>909</v>
      </c>
      <c r="I111" s="203" t="str">
        <f>IF(COUNTA(C109)&lt;1,"À faire",IFERROR(IF(AND(ABS(C109-7)&lt;0.0001),"✓ Correct","À revoir"),"À revoir"))</f>
        <v>À faire</v>
      </c>
    </row>
    <row r="114" spans="2:9" ht="24" customHeight="1">
      <c r="B114" s="534" t="s">
        <v>361</v>
      </c>
      <c r="C114" s="534"/>
      <c r="D114" s="534"/>
      <c r="E114" s="534"/>
      <c r="F114" s="534"/>
      <c r="G114" s="534"/>
      <c r="H114" s="534"/>
      <c r="I114" s="534"/>
    </row>
    <row r="116" spans="2:9" ht="24" customHeight="1">
      <c r="B116" s="536" t="s">
        <v>1247</v>
      </c>
      <c r="C116" s="536"/>
      <c r="D116" s="536"/>
      <c r="E116" s="536"/>
      <c r="F116" s="536"/>
      <c r="G116" s="536"/>
      <c r="H116" s="164" t="s">
        <v>901</v>
      </c>
      <c r="I116" s="123" t="s">
        <v>902</v>
      </c>
    </row>
    <row r="117" spans="2:9" ht="24" customHeight="1">
      <c r="B117" s="535" t="s">
        <v>1248</v>
      </c>
      <c r="C117" s="535"/>
      <c r="D117" s="535"/>
      <c r="E117" s="535"/>
      <c r="F117" s="535"/>
      <c r="G117" s="535"/>
      <c r="H117" s="535"/>
      <c r="I117" s="535"/>
    </row>
    <row r="118" spans="2:9" ht="24" customHeight="1">
      <c r="B118" s="535"/>
      <c r="C118" s="535"/>
      <c r="D118" s="535"/>
      <c r="E118" s="535"/>
      <c r="F118" s="535"/>
      <c r="G118" s="535"/>
      <c r="H118" s="535"/>
      <c r="I118" s="535"/>
    </row>
    <row r="120" spans="2:9">
      <c r="B120" s="165" t="s">
        <v>1225</v>
      </c>
      <c r="C120" s="165" t="s">
        <v>1249</v>
      </c>
    </row>
    <row r="121" spans="2:9">
      <c r="B121" s="166" t="s">
        <v>1238</v>
      </c>
      <c r="C121" s="327"/>
    </row>
    <row r="123" spans="2:9">
      <c r="H123" s="201" t="s">
        <v>909</v>
      </c>
      <c r="I123" s="203" t="str">
        <f>IF(COUNTA(C121)&lt;1,"À faire",IFERROR(IF(AND(ABS(C121-3)&lt;0.0001),"✓ Correct","À revoir"),"À revoir"))</f>
        <v>À faire</v>
      </c>
    </row>
    <row r="126" spans="2:9" ht="24" customHeight="1">
      <c r="B126" s="536" t="s">
        <v>1250</v>
      </c>
      <c r="C126" s="536"/>
      <c r="D126" s="536"/>
      <c r="E126" s="536"/>
      <c r="F126" s="536"/>
      <c r="G126" s="536"/>
      <c r="H126" s="164" t="s">
        <v>930</v>
      </c>
      <c r="I126" s="123" t="s">
        <v>902</v>
      </c>
    </row>
    <row r="127" spans="2:9" ht="24" customHeight="1">
      <c r="B127" s="535" t="s">
        <v>1251</v>
      </c>
      <c r="C127" s="535"/>
      <c r="D127" s="535"/>
      <c r="E127" s="535"/>
      <c r="F127" s="535"/>
      <c r="G127" s="535"/>
      <c r="H127" s="535"/>
      <c r="I127" s="535"/>
    </row>
    <row r="128" spans="2:9" ht="24" customHeight="1">
      <c r="B128" s="535"/>
      <c r="C128" s="535"/>
      <c r="D128" s="535"/>
      <c r="E128" s="535"/>
      <c r="F128" s="535"/>
      <c r="G128" s="535"/>
      <c r="H128" s="535"/>
      <c r="I128" s="535"/>
    </row>
    <row r="130" spans="2:9">
      <c r="B130" s="165" t="s">
        <v>1225</v>
      </c>
      <c r="C130" s="165" t="s">
        <v>1249</v>
      </c>
    </row>
    <row r="131" spans="2:9">
      <c r="B131" s="166" t="s">
        <v>1238</v>
      </c>
      <c r="C131" s="327"/>
    </row>
    <row r="133" spans="2:9">
      <c r="H133" s="201" t="s">
        <v>909</v>
      </c>
      <c r="I133" s="203" t="str">
        <f>IF(COUNTA(C131)&lt;1,"À faire",IFERROR(IF(AND(ABS(C131-6)&lt;0.0001),"✓ Correct","À revoir"),"À revoir"))</f>
        <v>À faire</v>
      </c>
    </row>
    <row r="136" spans="2:9" ht="24" customHeight="1">
      <c r="B136" s="534" t="s">
        <v>365</v>
      </c>
      <c r="C136" s="534"/>
      <c r="D136" s="534"/>
      <c r="E136" s="534"/>
      <c r="F136" s="534"/>
      <c r="G136" s="534"/>
      <c r="H136" s="534"/>
      <c r="I136" s="534"/>
    </row>
    <row r="138" spans="2:9" ht="24" customHeight="1">
      <c r="B138" s="536" t="s">
        <v>1252</v>
      </c>
      <c r="C138" s="536"/>
      <c r="D138" s="536"/>
      <c r="E138" s="536"/>
      <c r="F138" s="536"/>
      <c r="G138" s="536"/>
      <c r="H138" s="164" t="s">
        <v>930</v>
      </c>
      <c r="I138" s="123" t="s">
        <v>902</v>
      </c>
    </row>
    <row r="139" spans="2:9" ht="24" customHeight="1">
      <c r="B139" s="535" t="s">
        <v>1253</v>
      </c>
      <c r="C139" s="535"/>
      <c r="D139" s="535"/>
      <c r="E139" s="535"/>
      <c r="F139" s="535"/>
      <c r="G139" s="535"/>
      <c r="H139" s="535"/>
      <c r="I139" s="535"/>
    </row>
    <row r="140" spans="2:9" ht="24" customHeight="1">
      <c r="B140" s="535"/>
      <c r="C140" s="535"/>
      <c r="D140" s="535"/>
      <c r="E140" s="535"/>
      <c r="F140" s="535"/>
      <c r="G140" s="535"/>
      <c r="H140" s="535"/>
      <c r="I140" s="535"/>
    </row>
    <row r="142" spans="2:9">
      <c r="B142" s="165" t="s">
        <v>1225</v>
      </c>
      <c r="C142" s="165" t="s">
        <v>1249</v>
      </c>
    </row>
    <row r="143" spans="2:9">
      <c r="B143" s="166" t="s">
        <v>1238</v>
      </c>
      <c r="C143" s="327"/>
    </row>
    <row r="145" spans="2:9">
      <c r="H145" s="201" t="s">
        <v>909</v>
      </c>
      <c r="I145" s="203" t="str">
        <f>IF(COUNTA(C143)&lt;1,"À faire",IFERROR(IF(AND(ABS(C143-7)&lt;0.0001),"✓ Correct","À revoir"),"À revoir"))</f>
        <v>À faire</v>
      </c>
    </row>
    <row r="148" spans="2:9" ht="24" customHeight="1">
      <c r="B148" s="534" t="s">
        <v>368</v>
      </c>
      <c r="C148" s="534"/>
      <c r="D148" s="534"/>
      <c r="E148" s="534"/>
      <c r="F148" s="534"/>
      <c r="G148" s="534"/>
      <c r="H148" s="534"/>
      <c r="I148" s="534"/>
    </row>
    <row r="150" spans="2:9" ht="24" customHeight="1">
      <c r="B150" s="536" t="s">
        <v>1254</v>
      </c>
      <c r="C150" s="536"/>
      <c r="D150" s="536"/>
      <c r="E150" s="536"/>
      <c r="F150" s="536"/>
      <c r="G150" s="536"/>
      <c r="H150" s="164" t="s">
        <v>930</v>
      </c>
      <c r="I150" s="123" t="s">
        <v>902</v>
      </c>
    </row>
    <row r="151" spans="2:9" ht="24" customHeight="1">
      <c r="B151" s="535" t="s">
        <v>1255</v>
      </c>
      <c r="C151" s="535"/>
      <c r="D151" s="535"/>
      <c r="E151" s="535"/>
      <c r="F151" s="535"/>
      <c r="G151" s="535"/>
      <c r="H151" s="535"/>
      <c r="I151" s="535"/>
    </row>
    <row r="152" spans="2:9" ht="24" customHeight="1">
      <c r="B152" s="535"/>
      <c r="C152" s="535"/>
      <c r="D152" s="535"/>
      <c r="E152" s="535"/>
      <c r="F152" s="535"/>
      <c r="G152" s="535"/>
      <c r="H152" s="535"/>
      <c r="I152" s="535"/>
    </row>
    <row r="154" spans="2:9">
      <c r="B154" s="165" t="s">
        <v>1256</v>
      </c>
      <c r="C154" s="165" t="s">
        <v>906</v>
      </c>
    </row>
    <row r="155" spans="2:9">
      <c r="B155" s="166" t="str">
        <f>REPT(" ",2)&amp;"MARTIN"&amp;REPT(" ",3)&amp;"Claire"&amp;REPT(" ",2)</f>
        <v xml:space="preserve">  MARTIN   Claire  </v>
      </c>
      <c r="C155" s="327"/>
    </row>
    <row r="157" spans="2:9">
      <c r="H157" s="201" t="s">
        <v>909</v>
      </c>
      <c r="I157" s="203" t="str">
        <f>IF(COUNTA(C155)&lt;1,"À faire",IFERROR(IF(AND(C155="MARTIN Claire"),"✓ Correct","À revoir"),"À revoir"))</f>
        <v>À faire</v>
      </c>
    </row>
    <row r="160" spans="2:9" ht="24" customHeight="1">
      <c r="B160" s="534" t="s">
        <v>372</v>
      </c>
      <c r="C160" s="534"/>
      <c r="D160" s="534"/>
      <c r="E160" s="534"/>
      <c r="F160" s="534"/>
      <c r="G160" s="534"/>
      <c r="H160" s="534"/>
      <c r="I160" s="534"/>
    </row>
    <row r="162" spans="2:9" ht="24" customHeight="1">
      <c r="B162" s="536" t="s">
        <v>1257</v>
      </c>
      <c r="C162" s="536"/>
      <c r="D162" s="536"/>
      <c r="E162" s="536"/>
      <c r="F162" s="536"/>
      <c r="G162" s="536"/>
      <c r="H162" s="164" t="s">
        <v>901</v>
      </c>
      <c r="I162" s="123" t="s">
        <v>902</v>
      </c>
    </row>
    <row r="163" spans="2:9" ht="24" customHeight="1">
      <c r="B163" s="535" t="s">
        <v>1258</v>
      </c>
      <c r="C163" s="535"/>
      <c r="D163" s="535"/>
      <c r="E163" s="535"/>
      <c r="F163" s="535"/>
      <c r="G163" s="535"/>
      <c r="H163" s="535"/>
      <c r="I163" s="535"/>
    </row>
    <row r="164" spans="2:9" ht="24" customHeight="1">
      <c r="B164" s="535"/>
      <c r="C164" s="535"/>
      <c r="D164" s="535"/>
      <c r="E164" s="535"/>
      <c r="F164" s="535"/>
      <c r="G164" s="535"/>
      <c r="H164" s="535"/>
      <c r="I164" s="535"/>
    </row>
    <row r="166" spans="2:9">
      <c r="B166" s="165" t="s">
        <v>1225</v>
      </c>
      <c r="C166" s="165" t="s">
        <v>906</v>
      </c>
    </row>
    <row r="167" spans="2:9">
      <c r="B167" s="166" t="s">
        <v>1238</v>
      </c>
      <c r="C167" s="327"/>
    </row>
    <row r="169" spans="2:9">
      <c r="H169" s="201" t="s">
        <v>909</v>
      </c>
      <c r="I169" s="203" t="str">
        <f>IF(COUNTA(C167)&lt;1,"À faire",IFERROR(IF(AND(C167="FR / 75 / PARIS"),"✓ Correct","À revoir"),"À revoir"))</f>
        <v>À faire</v>
      </c>
    </row>
    <row r="172" spans="2:9" ht="24" customHeight="1">
      <c r="B172" s="536" t="s">
        <v>1259</v>
      </c>
      <c r="C172" s="536"/>
      <c r="D172" s="536"/>
      <c r="E172" s="536"/>
      <c r="F172" s="536"/>
      <c r="G172" s="536"/>
      <c r="H172" s="164" t="s">
        <v>930</v>
      </c>
      <c r="I172" s="123" t="s">
        <v>902</v>
      </c>
    </row>
    <row r="173" spans="2:9" ht="24" customHeight="1">
      <c r="B173" s="535" t="s">
        <v>1260</v>
      </c>
      <c r="C173" s="535"/>
      <c r="D173" s="535"/>
      <c r="E173" s="535"/>
      <c r="F173" s="535"/>
      <c r="G173" s="535"/>
      <c r="H173" s="535"/>
      <c r="I173" s="535"/>
    </row>
    <row r="174" spans="2:9" ht="24" customHeight="1">
      <c r="B174" s="535"/>
      <c r="C174" s="535"/>
      <c r="D174" s="535"/>
      <c r="E174" s="535"/>
      <c r="F174" s="535"/>
      <c r="G174" s="535"/>
      <c r="H174" s="535"/>
      <c r="I174" s="535"/>
    </row>
    <row r="176" spans="2:9">
      <c r="B176" s="165" t="s">
        <v>1225</v>
      </c>
      <c r="C176" s="165" t="s">
        <v>906</v>
      </c>
    </row>
    <row r="177" spans="2:9">
      <c r="B177" s="166" t="s">
        <v>1238</v>
      </c>
      <c r="C177" s="327"/>
    </row>
    <row r="179" spans="2:9">
      <c r="H179" s="201" t="s">
        <v>909</v>
      </c>
      <c r="I179" s="203" t="str">
        <f>IF(COUNTA(C177)&lt;1,"À faire",IFERROR(IF(AND(C177="FR-75/PARIS"),"✓ Correct","À revoir"),"À revoir"))</f>
        <v>À faire</v>
      </c>
    </row>
    <row r="182" spans="2:9" ht="24" customHeight="1">
      <c r="B182" s="534" t="s">
        <v>375</v>
      </c>
      <c r="C182" s="534"/>
      <c r="D182" s="534"/>
      <c r="E182" s="534"/>
      <c r="F182" s="534"/>
      <c r="G182" s="534"/>
      <c r="H182" s="534"/>
      <c r="I182" s="534"/>
    </row>
    <row r="184" spans="2:9" ht="24" customHeight="1">
      <c r="B184" s="536" t="s">
        <v>1261</v>
      </c>
      <c r="C184" s="536"/>
      <c r="D184" s="536"/>
      <c r="E184" s="536"/>
      <c r="F184" s="536"/>
      <c r="G184" s="536"/>
      <c r="H184" s="164" t="s">
        <v>901</v>
      </c>
      <c r="I184" s="123" t="s">
        <v>902</v>
      </c>
    </row>
    <row r="185" spans="2:9" ht="24" customHeight="1">
      <c r="B185" s="535" t="s">
        <v>1262</v>
      </c>
      <c r="C185" s="535"/>
      <c r="D185" s="535"/>
      <c r="E185" s="535"/>
      <c r="F185" s="535"/>
      <c r="G185" s="535"/>
      <c r="H185" s="535"/>
      <c r="I185" s="535"/>
    </row>
    <row r="186" spans="2:9" ht="24" customHeight="1">
      <c r="B186" s="535"/>
      <c r="C186" s="535"/>
      <c r="D186" s="535"/>
      <c r="E186" s="535"/>
      <c r="F186" s="535"/>
      <c r="G186" s="535"/>
      <c r="H186" s="535"/>
      <c r="I186" s="535"/>
    </row>
    <row r="188" spans="2:9">
      <c r="B188" s="165" t="s">
        <v>1263</v>
      </c>
      <c r="C188" s="165" t="s">
        <v>963</v>
      </c>
      <c r="D188" s="165" t="s">
        <v>906</v>
      </c>
    </row>
    <row r="189" spans="2:9">
      <c r="B189" s="166" t="s">
        <v>1264</v>
      </c>
      <c r="C189" s="167" t="s">
        <v>964</v>
      </c>
      <c r="D189" s="327"/>
    </row>
    <row r="191" spans="2:9">
      <c r="H191" s="201" t="s">
        <v>909</v>
      </c>
      <c r="I191" s="203" t="str">
        <f>IF(COUNTA(D189)&lt;1,"À faire",IFERROR(IF(AND(D189="Claire Martin"),"✓ Correct","À revoir"),"À revoir"))</f>
        <v>À faire</v>
      </c>
    </row>
    <row r="194" spans="2:9" ht="24" customHeight="1">
      <c r="B194" s="536" t="s">
        <v>1265</v>
      </c>
      <c r="C194" s="536"/>
      <c r="D194" s="536"/>
      <c r="E194" s="536"/>
      <c r="F194" s="536"/>
      <c r="G194" s="536"/>
      <c r="H194" s="164" t="s">
        <v>930</v>
      </c>
      <c r="I194" s="123" t="s">
        <v>902</v>
      </c>
    </row>
    <row r="195" spans="2:9" ht="24" customHeight="1">
      <c r="B195" s="535" t="s">
        <v>1266</v>
      </c>
      <c r="C195" s="535"/>
      <c r="D195" s="535"/>
      <c r="E195" s="535"/>
      <c r="F195" s="535"/>
      <c r="G195" s="535"/>
      <c r="H195" s="535"/>
      <c r="I195" s="535"/>
    </row>
    <row r="196" spans="2:9" ht="24" customHeight="1">
      <c r="B196" s="535"/>
      <c r="C196" s="535"/>
      <c r="D196" s="535"/>
      <c r="E196" s="535"/>
      <c r="F196" s="535"/>
      <c r="G196" s="535"/>
      <c r="H196" s="535"/>
      <c r="I196" s="535"/>
    </row>
    <row r="198" spans="2:9">
      <c r="B198" s="165" t="s">
        <v>1267</v>
      </c>
      <c r="C198" s="165" t="s">
        <v>1268</v>
      </c>
      <c r="D198" s="165" t="s">
        <v>906</v>
      </c>
    </row>
    <row r="199" spans="2:9">
      <c r="B199" s="166" t="str">
        <f>REPT(" ",2)&amp;"MARTIN"&amp;REPT(" ",3)&amp;"Claire"&amp;REPT(" ",2)</f>
        <v xml:space="preserve">  MARTIN   Claire  </v>
      </c>
      <c r="C199" s="167" t="s">
        <v>1269</v>
      </c>
      <c r="D199" s="327"/>
    </row>
    <row r="201" spans="2:9">
      <c r="H201" s="201" t="s">
        <v>909</v>
      </c>
      <c r="I201" s="203" t="str">
        <f>IF(COUNTA(D199)&lt;1,"À faire",IFERROR(IF(AND(D199="MARTIN Claire - claire.martin@exemple.fr"),"✓ Correct","À revoir"),"À revoir"))</f>
        <v>À faire</v>
      </c>
    </row>
    <row r="204" spans="2:9" ht="24" customHeight="1">
      <c r="B204" s="534" t="s">
        <v>379</v>
      </c>
      <c r="C204" s="534"/>
      <c r="D204" s="534"/>
      <c r="E204" s="534"/>
      <c r="F204" s="534"/>
      <c r="G204" s="534"/>
      <c r="H204" s="534"/>
      <c r="I204" s="534"/>
    </row>
    <row r="206" spans="2:9" ht="24" customHeight="1">
      <c r="B206" s="536" t="s">
        <v>1270</v>
      </c>
      <c r="C206" s="536"/>
      <c r="D206" s="536"/>
      <c r="E206" s="536"/>
      <c r="F206" s="536"/>
      <c r="G206" s="536"/>
      <c r="H206" s="164" t="s">
        <v>901</v>
      </c>
      <c r="I206" s="168" t="s">
        <v>1126</v>
      </c>
    </row>
    <row r="207" spans="2:9" ht="24" customHeight="1">
      <c r="B207" s="535" t="s">
        <v>1271</v>
      </c>
      <c r="C207" s="535"/>
      <c r="D207" s="535"/>
      <c r="E207" s="535"/>
      <c r="F207" s="535"/>
      <c r="G207" s="535"/>
      <c r="H207" s="535"/>
      <c r="I207" s="535"/>
    </row>
    <row r="208" spans="2:9" ht="24" customHeight="1">
      <c r="B208" s="535"/>
      <c r="C208" s="535"/>
      <c r="D208" s="535"/>
      <c r="E208" s="535"/>
      <c r="F208" s="535"/>
      <c r="G208" s="535"/>
      <c r="H208" s="535"/>
      <c r="I208" s="535"/>
    </row>
    <row r="210" spans="2:9">
      <c r="B210" s="165" t="s">
        <v>1272</v>
      </c>
      <c r="C210" s="165" t="s">
        <v>1097</v>
      </c>
      <c r="D210" s="165" t="s">
        <v>906</v>
      </c>
    </row>
    <row r="211" spans="2:9">
      <c r="B211" s="166" t="s">
        <v>1273</v>
      </c>
      <c r="C211" s="167" t="s">
        <v>1098</v>
      </c>
      <c r="D211" s="327"/>
    </row>
    <row r="213" spans="2:9">
      <c r="H213" s="201" t="s">
        <v>909</v>
      </c>
      <c r="I213" s="203" t="str">
        <f>IF(COUNTA(D211)&lt;1,"À faire",IFERROR(IF(AND(D211="CMD-001 - Payée"),"✓ Correct","À revoir"),"À revoir"))</f>
        <v>À faire</v>
      </c>
    </row>
    <row r="216" spans="2:9" ht="24" customHeight="1">
      <c r="B216" s="536" t="s">
        <v>1274</v>
      </c>
      <c r="C216" s="536"/>
      <c r="D216" s="536"/>
      <c r="E216" s="536"/>
      <c r="F216" s="536"/>
      <c r="G216" s="536"/>
      <c r="H216" s="164" t="s">
        <v>901</v>
      </c>
      <c r="I216" s="168" t="s">
        <v>1126</v>
      </c>
    </row>
    <row r="217" spans="2:9" ht="24" customHeight="1">
      <c r="B217" s="535" t="s">
        <v>1275</v>
      </c>
      <c r="C217" s="535"/>
      <c r="D217" s="535"/>
      <c r="E217" s="535"/>
      <c r="F217" s="535"/>
      <c r="G217" s="535"/>
      <c r="H217" s="535"/>
      <c r="I217" s="535"/>
    </row>
    <row r="218" spans="2:9" ht="24" customHeight="1">
      <c r="B218" s="535"/>
      <c r="C218" s="535"/>
      <c r="D218" s="535"/>
      <c r="E218" s="535"/>
      <c r="F218" s="535"/>
      <c r="G218" s="535"/>
      <c r="H218" s="535"/>
      <c r="I218" s="535"/>
    </row>
    <row r="220" spans="2:9">
      <c r="B220" s="165" t="s">
        <v>1276</v>
      </c>
      <c r="C220" s="165" t="s">
        <v>1277</v>
      </c>
      <c r="D220" s="165" t="s">
        <v>1278</v>
      </c>
      <c r="E220" s="165" t="s">
        <v>906</v>
      </c>
    </row>
    <row r="221" spans="2:9">
      <c r="B221" s="166" t="s">
        <v>1279</v>
      </c>
      <c r="C221" s="167" t="s">
        <v>1280</v>
      </c>
      <c r="D221" s="167" t="s">
        <v>1281</v>
      </c>
      <c r="E221" s="327"/>
    </row>
    <row r="223" spans="2:9">
      <c r="H223" s="201" t="s">
        <v>909</v>
      </c>
      <c r="I223" s="203" t="str">
        <f>IF(COUNTA(E221)&lt;1,"À faire",IFERROR(IF(AND(E221="FR-75-PARIS"),"✓ Correct","À revoir"),"À revoir"))</f>
        <v>À faire</v>
      </c>
    </row>
    <row r="226" spans="2:9" ht="24" customHeight="1">
      <c r="B226" s="534" t="s">
        <v>382</v>
      </c>
      <c r="C226" s="534"/>
      <c r="D226" s="534"/>
      <c r="E226" s="534"/>
      <c r="F226" s="534"/>
      <c r="G226" s="534"/>
      <c r="H226" s="534"/>
      <c r="I226" s="534"/>
    </row>
    <row r="228" spans="2:9" ht="24" customHeight="1">
      <c r="B228" s="536" t="s">
        <v>1282</v>
      </c>
      <c r="C228" s="536"/>
      <c r="D228" s="536"/>
      <c r="E228" s="536"/>
      <c r="F228" s="536"/>
      <c r="G228" s="536"/>
      <c r="H228" s="164" t="s">
        <v>901</v>
      </c>
      <c r="I228" s="168" t="s">
        <v>1126</v>
      </c>
    </row>
    <row r="229" spans="2:9" ht="24" customHeight="1">
      <c r="B229" s="535" t="s">
        <v>1283</v>
      </c>
      <c r="C229" s="535"/>
      <c r="D229" s="535"/>
      <c r="E229" s="535"/>
      <c r="F229" s="535"/>
      <c r="G229" s="535"/>
      <c r="H229" s="535"/>
      <c r="I229" s="535"/>
    </row>
    <row r="230" spans="2:9" ht="24" customHeight="1">
      <c r="B230" s="535"/>
      <c r="C230" s="535"/>
      <c r="D230" s="535"/>
      <c r="E230" s="535"/>
      <c r="F230" s="535"/>
      <c r="G230" s="535"/>
      <c r="H230" s="535"/>
      <c r="I230" s="535"/>
    </row>
    <row r="232" spans="2:9">
      <c r="B232" s="165" t="s">
        <v>1284</v>
      </c>
      <c r="C232" s="165" t="s">
        <v>1285</v>
      </c>
      <c r="D232" s="165" t="s">
        <v>1286</v>
      </c>
      <c r="E232" s="165" t="s">
        <v>1287</v>
      </c>
      <c r="F232" s="165" t="s">
        <v>906</v>
      </c>
    </row>
    <row r="233" spans="2:9">
      <c r="B233" s="166" t="s">
        <v>964</v>
      </c>
      <c r="C233" s="167" t="s">
        <v>1264</v>
      </c>
      <c r="D233" s="167"/>
      <c r="E233" s="167" t="s">
        <v>1288</v>
      </c>
      <c r="F233" s="327"/>
    </row>
    <row r="235" spans="2:9">
      <c r="H235" s="201" t="s">
        <v>909</v>
      </c>
      <c r="I235" s="203" t="str">
        <f>IF(COUNTA(F233)&lt;1,"À faire",IFERROR(IF(AND(F233="Martin | Claire | Lyon"),"✓ Correct","À revoir"),"À revoir"))</f>
        <v>À faire</v>
      </c>
    </row>
    <row r="238" spans="2:9" ht="24" customHeight="1">
      <c r="B238" s="536" t="s">
        <v>1289</v>
      </c>
      <c r="C238" s="536"/>
      <c r="D238" s="536"/>
      <c r="E238" s="536"/>
      <c r="F238" s="536"/>
      <c r="G238" s="536"/>
      <c r="H238" s="164" t="s">
        <v>930</v>
      </c>
      <c r="I238" s="168" t="s">
        <v>1126</v>
      </c>
    </row>
    <row r="239" spans="2:9" ht="24" customHeight="1">
      <c r="B239" s="535" t="s">
        <v>1290</v>
      </c>
      <c r="C239" s="535"/>
      <c r="D239" s="535"/>
      <c r="E239" s="535"/>
      <c r="F239" s="535"/>
      <c r="G239" s="535"/>
      <c r="H239" s="535"/>
      <c r="I239" s="535"/>
    </row>
    <row r="240" spans="2:9" ht="24" customHeight="1">
      <c r="B240" s="535"/>
      <c r="C240" s="535"/>
      <c r="D240" s="535"/>
      <c r="E240" s="535"/>
      <c r="F240" s="535"/>
      <c r="G240" s="535"/>
      <c r="H240" s="535"/>
      <c r="I240" s="535"/>
    </row>
    <row r="242" spans="2:9">
      <c r="B242" s="165" t="s">
        <v>1284</v>
      </c>
      <c r="C242" s="165" t="s">
        <v>1285</v>
      </c>
      <c r="D242" s="165" t="s">
        <v>1286</v>
      </c>
      <c r="E242" s="165" t="s">
        <v>1287</v>
      </c>
      <c r="F242" s="165" t="s">
        <v>906</v>
      </c>
    </row>
    <row r="243" spans="2:9">
      <c r="B243" s="166" t="s">
        <v>964</v>
      </c>
      <c r="C243" s="167" t="s">
        <v>1264</v>
      </c>
      <c r="D243" s="167"/>
      <c r="E243" s="167" t="s">
        <v>1288</v>
      </c>
      <c r="F243" s="327"/>
    </row>
    <row r="245" spans="2:9">
      <c r="H245" s="201" t="s">
        <v>909</v>
      </c>
      <c r="I245" s="203" t="str">
        <f>IF(COUNTA(F243)&lt;1,"À faire",IFERROR(IF(AND(F243="Martin | Claire |  | Lyon"),"✓ Correct","À revoir"),"À revoir"))</f>
        <v>À faire</v>
      </c>
    </row>
    <row r="248" spans="2:9" ht="24" customHeight="1">
      <c r="B248" s="534" t="s">
        <v>386</v>
      </c>
      <c r="C248" s="534"/>
      <c r="D248" s="534"/>
      <c r="E248" s="534"/>
      <c r="F248" s="534"/>
      <c r="G248" s="534"/>
      <c r="H248" s="534"/>
      <c r="I248" s="534"/>
    </row>
    <row r="250" spans="2:9" ht="24" customHeight="1">
      <c r="B250" s="536" t="s">
        <v>1291</v>
      </c>
      <c r="C250" s="536"/>
      <c r="D250" s="536"/>
      <c r="E250" s="536"/>
      <c r="F250" s="536"/>
      <c r="G250" s="536"/>
      <c r="H250" s="164" t="s">
        <v>901</v>
      </c>
      <c r="I250" s="169" t="s">
        <v>1292</v>
      </c>
    </row>
    <row r="251" spans="2:9" ht="24" customHeight="1">
      <c r="B251" s="535" t="s">
        <v>1293</v>
      </c>
      <c r="C251" s="535"/>
      <c r="D251" s="535"/>
      <c r="E251" s="535"/>
      <c r="F251" s="535"/>
      <c r="G251" s="535"/>
      <c r="H251" s="535"/>
      <c r="I251" s="535"/>
    </row>
    <row r="252" spans="2:9" ht="24" customHeight="1">
      <c r="B252" s="535"/>
      <c r="C252" s="535"/>
      <c r="D252" s="535"/>
      <c r="E252" s="535"/>
      <c r="F252" s="535"/>
      <c r="G252" s="535"/>
      <c r="H252" s="535"/>
      <c r="I252" s="535"/>
    </row>
    <row r="254" spans="2:9">
      <c r="B254" s="165" t="s">
        <v>1268</v>
      </c>
      <c r="C254" s="165" t="s">
        <v>906</v>
      </c>
    </row>
    <row r="255" spans="2:9">
      <c r="B255" s="166" t="s">
        <v>1269</v>
      </c>
      <c r="C255" s="327"/>
    </row>
    <row r="257" spans="2:9">
      <c r="H257" s="201" t="s">
        <v>909</v>
      </c>
      <c r="I257" s="203" t="str">
        <f>IF(COUNTA(C255)&lt;1,"À faire",IFERROR(IF(AND(C255="claire.martin"),"✓ Correct","À revoir"),"À revoir"))</f>
        <v>À faire</v>
      </c>
    </row>
    <row r="260" spans="2:9" ht="24" customHeight="1">
      <c r="B260" s="534" t="s">
        <v>389</v>
      </c>
      <c r="C260" s="534"/>
      <c r="D260" s="534"/>
      <c r="E260" s="534"/>
      <c r="F260" s="534"/>
      <c r="G260" s="534"/>
      <c r="H260" s="534"/>
      <c r="I260" s="534"/>
    </row>
    <row r="262" spans="2:9" ht="24" customHeight="1">
      <c r="B262" s="536" t="s">
        <v>1294</v>
      </c>
      <c r="C262" s="536"/>
      <c r="D262" s="536"/>
      <c r="E262" s="536"/>
      <c r="F262" s="536"/>
      <c r="G262" s="536"/>
      <c r="H262" s="164" t="s">
        <v>901</v>
      </c>
      <c r="I262" s="169" t="s">
        <v>1292</v>
      </c>
    </row>
    <row r="263" spans="2:9" ht="24" customHeight="1">
      <c r="B263" s="535" t="s">
        <v>1295</v>
      </c>
      <c r="C263" s="535"/>
      <c r="D263" s="535"/>
      <c r="E263" s="535"/>
      <c r="F263" s="535"/>
      <c r="G263" s="535"/>
      <c r="H263" s="535"/>
      <c r="I263" s="535"/>
    </row>
    <row r="264" spans="2:9" ht="24" customHeight="1">
      <c r="B264" s="535"/>
      <c r="C264" s="535"/>
      <c r="D264" s="535"/>
      <c r="E264" s="535"/>
      <c r="F264" s="535"/>
      <c r="G264" s="535"/>
      <c r="H264" s="535"/>
      <c r="I264" s="535"/>
    </row>
    <row r="266" spans="2:9">
      <c r="B266" s="165" t="s">
        <v>1268</v>
      </c>
      <c r="C266" s="165" t="s">
        <v>906</v>
      </c>
    </row>
    <row r="267" spans="2:9">
      <c r="B267" s="166" t="s">
        <v>1269</v>
      </c>
      <c r="C267" s="327"/>
    </row>
    <row r="269" spans="2:9">
      <c r="H269" s="201" t="s">
        <v>909</v>
      </c>
      <c r="I269" s="203" t="str">
        <f>IF(COUNTA(C267)&lt;1,"À faire",IFERROR(IF(AND(C267="exemple.fr"),"✓ Correct","À revoir"),"À revoir"))</f>
        <v>À faire</v>
      </c>
    </row>
    <row r="272" spans="2:9" ht="24" customHeight="1">
      <c r="B272" s="534" t="s">
        <v>393</v>
      </c>
      <c r="C272" s="534"/>
      <c r="D272" s="534"/>
      <c r="E272" s="534"/>
      <c r="F272" s="534"/>
      <c r="G272" s="534"/>
      <c r="H272" s="534"/>
      <c r="I272" s="534"/>
    </row>
    <row r="274" spans="2:9" ht="24" customHeight="1">
      <c r="B274" s="536" t="s">
        <v>1296</v>
      </c>
      <c r="C274" s="536"/>
      <c r="D274" s="536"/>
      <c r="E274" s="536"/>
      <c r="F274" s="536"/>
      <c r="G274" s="536"/>
      <c r="H274" s="164" t="s">
        <v>930</v>
      </c>
      <c r="I274" s="168" t="s">
        <v>1126</v>
      </c>
    </row>
    <row r="275" spans="2:9" ht="24" customHeight="1">
      <c r="B275" s="535" t="s">
        <v>1297</v>
      </c>
      <c r="C275" s="535"/>
      <c r="D275" s="535"/>
      <c r="E275" s="535"/>
      <c r="F275" s="535"/>
      <c r="G275" s="535"/>
      <c r="H275" s="535"/>
      <c r="I275" s="535"/>
    </row>
    <row r="276" spans="2:9" ht="24" customHeight="1">
      <c r="B276" s="535"/>
      <c r="C276" s="535"/>
      <c r="D276" s="535"/>
      <c r="E276" s="535"/>
      <c r="F276" s="535"/>
      <c r="G276" s="535"/>
      <c r="H276" s="535"/>
      <c r="I276" s="535"/>
    </row>
    <row r="278" spans="2:9">
      <c r="B278" s="165" t="s">
        <v>1263</v>
      </c>
      <c r="C278" s="165" t="s">
        <v>963</v>
      </c>
      <c r="D278" s="165" t="s">
        <v>1298</v>
      </c>
      <c r="E278" s="165" t="s">
        <v>1299</v>
      </c>
      <c r="F278" s="165" t="s">
        <v>1300</v>
      </c>
    </row>
    <row r="279" spans="2:9">
      <c r="B279" s="166" t="s">
        <v>1264</v>
      </c>
      <c r="C279" s="167" t="s">
        <v>964</v>
      </c>
      <c r="D279" s="328"/>
      <c r="E279" s="329"/>
      <c r="F279" s="330"/>
    </row>
    <row r="281" spans="2:9">
      <c r="H281" s="201" t="s">
        <v>909</v>
      </c>
      <c r="I281" s="203" t="str">
        <f>IF(COUNTA(D279,E279,F279)&lt;3,"À faire",IFERROR(IF(AND(D279="Claire Martin",E279="Claire Martin",F279="Claire Martin"),"✓ Correct","À revoir"),"À revoir"))</f>
        <v>À faire</v>
      </c>
    </row>
    <row r="284" spans="2:9" ht="24" customHeight="1">
      <c r="B284" s="536" t="s">
        <v>1301</v>
      </c>
      <c r="C284" s="536"/>
      <c r="D284" s="536"/>
      <c r="E284" s="536"/>
      <c r="F284" s="536"/>
      <c r="G284" s="536"/>
      <c r="H284" s="164" t="s">
        <v>930</v>
      </c>
      <c r="I284" s="169" t="s">
        <v>1292</v>
      </c>
    </row>
    <row r="285" spans="2:9" ht="24" customHeight="1">
      <c r="B285" s="535" t="s">
        <v>1302</v>
      </c>
      <c r="C285" s="535"/>
      <c r="D285" s="535"/>
      <c r="E285" s="535"/>
      <c r="F285" s="535"/>
      <c r="G285" s="535"/>
      <c r="H285" s="535"/>
      <c r="I285" s="535"/>
    </row>
    <row r="286" spans="2:9" ht="24" customHeight="1">
      <c r="B286" s="535"/>
      <c r="C286" s="535"/>
      <c r="D286" s="535"/>
      <c r="E286" s="535"/>
      <c r="F286" s="535"/>
      <c r="G286" s="535"/>
      <c r="H286" s="535"/>
      <c r="I286" s="535"/>
    </row>
    <row r="288" spans="2:9">
      <c r="B288" s="165" t="s">
        <v>1268</v>
      </c>
      <c r="C288" s="165" t="s">
        <v>1303</v>
      </c>
      <c r="D288" s="165" t="s">
        <v>386</v>
      </c>
    </row>
    <row r="289" spans="2:9">
      <c r="B289" s="166" t="s">
        <v>1269</v>
      </c>
      <c r="C289" s="328"/>
      <c r="D289" s="330"/>
    </row>
    <row r="291" spans="2:9">
      <c r="H291" s="201" t="s">
        <v>909</v>
      </c>
      <c r="I291" s="203" t="str">
        <f>IF(COUNTA(C289,D289)&lt;2,"À faire",IFERROR(IF(AND(C289="claire.martin",D289="claire.martin"),"✓ Correct","À revoir"),"À revoir"))</f>
        <v>À faire</v>
      </c>
    </row>
    <row r="294" spans="2:9" ht="24" customHeight="1">
      <c r="B294" s="534" t="s">
        <v>396</v>
      </c>
      <c r="C294" s="534"/>
      <c r="D294" s="534"/>
      <c r="E294" s="534"/>
      <c r="F294" s="534"/>
      <c r="G294" s="534"/>
      <c r="H294" s="534"/>
      <c r="I294" s="534"/>
    </row>
    <row r="296" spans="2:9" ht="24" customHeight="1">
      <c r="B296" s="536" t="s">
        <v>1304</v>
      </c>
      <c r="C296" s="536"/>
      <c r="D296" s="536"/>
      <c r="E296" s="536"/>
      <c r="F296" s="536"/>
      <c r="G296" s="536"/>
      <c r="H296" s="164" t="s">
        <v>947</v>
      </c>
      <c r="I296" s="123" t="s">
        <v>902</v>
      </c>
    </row>
    <row r="297" spans="2:9" ht="24" customHeight="1">
      <c r="B297" s="535" t="s">
        <v>1305</v>
      </c>
      <c r="C297" s="535"/>
      <c r="D297" s="535"/>
      <c r="E297" s="535"/>
      <c r="F297" s="535"/>
      <c r="G297" s="535"/>
      <c r="H297" s="535"/>
      <c r="I297" s="535"/>
    </row>
    <row r="298" spans="2:9" ht="24" customHeight="1">
      <c r="B298" s="535"/>
      <c r="C298" s="535"/>
      <c r="D298" s="535"/>
      <c r="E298" s="535"/>
      <c r="F298" s="535"/>
      <c r="G298" s="535"/>
      <c r="H298" s="535"/>
      <c r="I298" s="535"/>
    </row>
    <row r="300" spans="2:9">
      <c r="B300" s="165" t="s">
        <v>1267</v>
      </c>
      <c r="C300" s="165" t="s">
        <v>1225</v>
      </c>
      <c r="D300" s="165" t="s">
        <v>906</v>
      </c>
    </row>
    <row r="301" spans="2:9">
      <c r="B301" s="166" t="str">
        <f>REPT(" ",2)&amp;"MARTIN"&amp;REPT(" ",3)&amp;"Claire"&amp;REPT(" ",2)</f>
        <v xml:space="preserve">  MARTIN   Claire  </v>
      </c>
      <c r="C301" s="167" t="s">
        <v>1238</v>
      </c>
      <c r="D301" s="327"/>
    </row>
    <row r="303" spans="2:9">
      <c r="H303" s="201" t="s">
        <v>909</v>
      </c>
      <c r="I303" s="203" t="str">
        <f>IF(COUNTA(D301)&lt;1,"À faire",IFERROR(IF(AND(D301="MARTIN Claire | FR / 75 / PARIS"),"✓ Correct","À revoir"),"À revoir"))</f>
        <v>À faire</v>
      </c>
    </row>
  </sheetData>
  <sheetProtection sheet="1" objects="1" scenarios="1" autoFilter="0"/>
  <mergeCells count="66">
    <mergeCell ref="B284:G284"/>
    <mergeCell ref="B285:I286"/>
    <mergeCell ref="B296:G296"/>
    <mergeCell ref="B297:I298"/>
    <mergeCell ref="B251:I252"/>
    <mergeCell ref="B262:G262"/>
    <mergeCell ref="B263:I264"/>
    <mergeCell ref="B274:G274"/>
    <mergeCell ref="B275:I276"/>
    <mergeCell ref="B260:I260"/>
    <mergeCell ref="B272:I272"/>
    <mergeCell ref="B294:I294"/>
    <mergeCell ref="B228:G228"/>
    <mergeCell ref="B229:I230"/>
    <mergeCell ref="B238:G238"/>
    <mergeCell ref="B239:I240"/>
    <mergeCell ref="B250:G250"/>
    <mergeCell ref="B248:I248"/>
    <mergeCell ref="B207:I208"/>
    <mergeCell ref="B162:G162"/>
    <mergeCell ref="B163:I164"/>
    <mergeCell ref="B172:G172"/>
    <mergeCell ref="B173:I174"/>
    <mergeCell ref="B184:G184"/>
    <mergeCell ref="B204:I204"/>
    <mergeCell ref="B185:I186"/>
    <mergeCell ref="B194:G194"/>
    <mergeCell ref="B195:I196"/>
    <mergeCell ref="B206:G206"/>
    <mergeCell ref="B116:G116"/>
    <mergeCell ref="B117:I118"/>
    <mergeCell ref="B114:I114"/>
    <mergeCell ref="B226:I226"/>
    <mergeCell ref="B126:G126"/>
    <mergeCell ref="B127:I128"/>
    <mergeCell ref="B138:G138"/>
    <mergeCell ref="B139:I140"/>
    <mergeCell ref="B150:G150"/>
    <mergeCell ref="B136:I136"/>
    <mergeCell ref="B148:I148"/>
    <mergeCell ref="B216:G216"/>
    <mergeCell ref="B217:I218"/>
    <mergeCell ref="B151:I152"/>
    <mergeCell ref="B160:I160"/>
    <mergeCell ref="B182:I182"/>
    <mergeCell ref="B95:I96"/>
    <mergeCell ref="B104:G104"/>
    <mergeCell ref="B105:I106"/>
    <mergeCell ref="B82:G82"/>
    <mergeCell ref="B83:I84"/>
    <mergeCell ref="B94:G94"/>
    <mergeCell ref="B24:I24"/>
    <mergeCell ref="B26:I26"/>
    <mergeCell ref="B48:I48"/>
    <mergeCell ref="B70:I70"/>
    <mergeCell ref="B92:I92"/>
    <mergeCell ref="B51:I52"/>
    <mergeCell ref="B60:G60"/>
    <mergeCell ref="B61:I62"/>
    <mergeCell ref="B72:G72"/>
    <mergeCell ref="B73:I74"/>
    <mergeCell ref="B28:G28"/>
    <mergeCell ref="B29:I30"/>
    <mergeCell ref="B38:G38"/>
    <mergeCell ref="B39:I40"/>
    <mergeCell ref="B50:G50"/>
  </mergeCells>
  <conditionalFormatting sqref="I35">
    <cfRule type="expression" dxfId="479" priority="1">
      <formula>I35="✓ Correct"</formula>
    </cfRule>
    <cfRule type="expression" dxfId="478" priority="2">
      <formula>I35="À revoir"</formula>
    </cfRule>
    <cfRule type="expression" dxfId="477" priority="3">
      <formula>I35="À faire"</formula>
    </cfRule>
  </conditionalFormatting>
  <conditionalFormatting sqref="I45">
    <cfRule type="expression" dxfId="476" priority="4">
      <formula>I45="✓ Correct"</formula>
    </cfRule>
    <cfRule type="expression" dxfId="475" priority="5">
      <formula>I45="À revoir"</formula>
    </cfRule>
    <cfRule type="expression" dxfId="474" priority="6">
      <formula>I45="À faire"</formula>
    </cfRule>
  </conditionalFormatting>
  <conditionalFormatting sqref="I57">
    <cfRule type="expression" dxfId="473" priority="7">
      <formula>I57="✓ Correct"</formula>
    </cfRule>
    <cfRule type="expression" dxfId="472" priority="8">
      <formula>I57="À revoir"</formula>
    </cfRule>
    <cfRule type="expression" dxfId="471" priority="9">
      <formula>I57="À faire"</formula>
    </cfRule>
  </conditionalFormatting>
  <conditionalFormatting sqref="I67">
    <cfRule type="expression" dxfId="470" priority="10">
      <formula>I67="✓ Correct"</formula>
    </cfRule>
    <cfRule type="expression" dxfId="469" priority="11">
      <formula>I67="À revoir"</formula>
    </cfRule>
    <cfRule type="expression" dxfId="468" priority="12">
      <formula>I67="À faire"</formula>
    </cfRule>
  </conditionalFormatting>
  <conditionalFormatting sqref="I79">
    <cfRule type="expression" dxfId="467" priority="13">
      <formula>I79="✓ Correct"</formula>
    </cfRule>
    <cfRule type="expression" dxfId="466" priority="14">
      <formula>I79="À revoir"</formula>
    </cfRule>
    <cfRule type="expression" dxfId="465" priority="15">
      <formula>I79="À faire"</formula>
    </cfRule>
  </conditionalFormatting>
  <conditionalFormatting sqref="I89">
    <cfRule type="expression" dxfId="464" priority="16">
      <formula>I89="✓ Correct"</formula>
    </cfRule>
    <cfRule type="expression" dxfId="463" priority="17">
      <formula>I89="À revoir"</formula>
    </cfRule>
    <cfRule type="expression" dxfId="462" priority="18">
      <formula>I89="À faire"</formula>
    </cfRule>
  </conditionalFormatting>
  <conditionalFormatting sqref="I101">
    <cfRule type="expression" dxfId="461" priority="19">
      <formula>I101="✓ Correct"</formula>
    </cfRule>
    <cfRule type="expression" dxfId="460" priority="20">
      <formula>I101="À revoir"</formula>
    </cfRule>
    <cfRule type="expression" dxfId="459" priority="21">
      <formula>I101="À faire"</formula>
    </cfRule>
  </conditionalFormatting>
  <conditionalFormatting sqref="I111">
    <cfRule type="expression" dxfId="458" priority="22">
      <formula>I111="✓ Correct"</formula>
    </cfRule>
    <cfRule type="expression" dxfId="457" priority="23">
      <formula>I111="À revoir"</formula>
    </cfRule>
    <cfRule type="expression" dxfId="456" priority="24">
      <formula>I111="À faire"</formula>
    </cfRule>
  </conditionalFormatting>
  <conditionalFormatting sqref="I123">
    <cfRule type="expression" dxfId="455" priority="25">
      <formula>I123="✓ Correct"</formula>
    </cfRule>
    <cfRule type="expression" dxfId="454" priority="26">
      <formula>I123="À revoir"</formula>
    </cfRule>
    <cfRule type="expression" dxfId="453" priority="27">
      <formula>I123="À faire"</formula>
    </cfRule>
  </conditionalFormatting>
  <conditionalFormatting sqref="I133">
    <cfRule type="expression" dxfId="452" priority="28">
      <formula>I133="✓ Correct"</formula>
    </cfRule>
    <cfRule type="expression" dxfId="451" priority="29">
      <formula>I133="À revoir"</formula>
    </cfRule>
    <cfRule type="expression" dxfId="450" priority="30">
      <formula>I133="À faire"</formula>
    </cfRule>
  </conditionalFormatting>
  <conditionalFormatting sqref="I145">
    <cfRule type="expression" dxfId="449" priority="31">
      <formula>I145="✓ Correct"</formula>
    </cfRule>
    <cfRule type="expression" dxfId="448" priority="32">
      <formula>I145="À revoir"</formula>
    </cfRule>
    <cfRule type="expression" dxfId="447" priority="33">
      <formula>I145="À faire"</formula>
    </cfRule>
  </conditionalFormatting>
  <conditionalFormatting sqref="I157">
    <cfRule type="expression" dxfId="446" priority="34">
      <formula>I157="✓ Correct"</formula>
    </cfRule>
    <cfRule type="expression" dxfId="445" priority="35">
      <formula>I157="À revoir"</formula>
    </cfRule>
    <cfRule type="expression" dxfId="444" priority="36">
      <formula>I157="À faire"</formula>
    </cfRule>
  </conditionalFormatting>
  <conditionalFormatting sqref="I169">
    <cfRule type="expression" dxfId="443" priority="37">
      <formula>I169="✓ Correct"</formula>
    </cfRule>
    <cfRule type="expression" dxfId="442" priority="38">
      <formula>I169="À revoir"</formula>
    </cfRule>
    <cfRule type="expression" dxfId="441" priority="39">
      <formula>I169="À faire"</formula>
    </cfRule>
  </conditionalFormatting>
  <conditionalFormatting sqref="I179">
    <cfRule type="expression" dxfId="440" priority="40">
      <formula>I179="✓ Correct"</formula>
    </cfRule>
    <cfRule type="expression" dxfId="439" priority="41">
      <formula>I179="À revoir"</formula>
    </cfRule>
    <cfRule type="expression" dxfId="438" priority="42">
      <formula>I179="À faire"</formula>
    </cfRule>
  </conditionalFormatting>
  <conditionalFormatting sqref="I191">
    <cfRule type="expression" dxfId="437" priority="43">
      <formula>I191="✓ Correct"</formula>
    </cfRule>
    <cfRule type="expression" dxfId="436" priority="44">
      <formula>I191="À revoir"</formula>
    </cfRule>
    <cfRule type="expression" dxfId="435" priority="45">
      <formula>I191="À faire"</formula>
    </cfRule>
  </conditionalFormatting>
  <conditionalFormatting sqref="I201">
    <cfRule type="expression" dxfId="434" priority="46">
      <formula>I201="✓ Correct"</formula>
    </cfRule>
    <cfRule type="expression" dxfId="433" priority="47">
      <formula>I201="À revoir"</formula>
    </cfRule>
    <cfRule type="expression" dxfId="432" priority="48">
      <formula>I201="À faire"</formula>
    </cfRule>
  </conditionalFormatting>
  <conditionalFormatting sqref="I213">
    <cfRule type="expression" dxfId="431" priority="49">
      <formula>I213="✓ Correct"</formula>
    </cfRule>
    <cfRule type="expression" dxfId="430" priority="50">
      <formula>I213="À revoir"</formula>
    </cfRule>
    <cfRule type="expression" dxfId="429" priority="51">
      <formula>I213="À faire"</formula>
    </cfRule>
  </conditionalFormatting>
  <conditionalFormatting sqref="I223">
    <cfRule type="expression" dxfId="428" priority="52">
      <formula>I223="✓ Correct"</formula>
    </cfRule>
    <cfRule type="expression" dxfId="427" priority="53">
      <formula>I223="À revoir"</formula>
    </cfRule>
    <cfRule type="expression" dxfId="426" priority="54">
      <formula>I223="À faire"</formula>
    </cfRule>
  </conditionalFormatting>
  <conditionalFormatting sqref="I235">
    <cfRule type="expression" dxfId="425" priority="55">
      <formula>I235="✓ Correct"</formula>
    </cfRule>
    <cfRule type="expression" dxfId="424" priority="56">
      <formula>I235="À revoir"</formula>
    </cfRule>
    <cfRule type="expression" dxfId="423" priority="57">
      <formula>I235="À faire"</formula>
    </cfRule>
  </conditionalFormatting>
  <conditionalFormatting sqref="I245">
    <cfRule type="expression" dxfId="422" priority="58">
      <formula>I245="✓ Correct"</formula>
    </cfRule>
    <cfRule type="expression" dxfId="421" priority="59">
      <formula>I245="À revoir"</formula>
    </cfRule>
    <cfRule type="expression" dxfId="420" priority="60">
      <formula>I245="À faire"</formula>
    </cfRule>
  </conditionalFormatting>
  <conditionalFormatting sqref="I257">
    <cfRule type="expression" dxfId="419" priority="61">
      <formula>I257="✓ Correct"</formula>
    </cfRule>
    <cfRule type="expression" dxfId="418" priority="62">
      <formula>I257="À revoir"</formula>
    </cfRule>
    <cfRule type="expression" dxfId="417" priority="63">
      <formula>I257="À faire"</formula>
    </cfRule>
  </conditionalFormatting>
  <conditionalFormatting sqref="I269">
    <cfRule type="expression" dxfId="416" priority="64">
      <formula>I269="✓ Correct"</formula>
    </cfRule>
    <cfRule type="expression" dxfId="415" priority="65">
      <formula>I269="À revoir"</formula>
    </cfRule>
    <cfRule type="expression" dxfId="414" priority="66">
      <formula>I269="À faire"</formula>
    </cfRule>
  </conditionalFormatting>
  <conditionalFormatting sqref="I281">
    <cfRule type="expression" dxfId="413" priority="67">
      <formula>I281="✓ Correct"</formula>
    </cfRule>
    <cfRule type="expression" dxfId="412" priority="68">
      <formula>I281="À revoir"</formula>
    </cfRule>
    <cfRule type="expression" dxfId="411" priority="69">
      <formula>I281="À faire"</formula>
    </cfRule>
  </conditionalFormatting>
  <conditionalFormatting sqref="I291">
    <cfRule type="expression" dxfId="410" priority="70">
      <formula>I291="✓ Correct"</formula>
    </cfRule>
    <cfRule type="expression" dxfId="409" priority="71">
      <formula>I291="À revoir"</formula>
    </cfRule>
    <cfRule type="expression" dxfId="408" priority="72">
      <formula>I291="À faire"</formula>
    </cfRule>
  </conditionalFormatting>
  <conditionalFormatting sqref="I303">
    <cfRule type="expression" dxfId="407" priority="73">
      <formula>I303="✓ Correct"</formula>
    </cfRule>
    <cfRule type="expression" dxfId="406" priority="74">
      <formula>I303="À revoir"</formula>
    </cfRule>
    <cfRule type="expression" dxfId="405" priority="75">
      <formula>I303="À faire"</formula>
    </cfRule>
  </conditionalFormatting>
  <hyperlinks>
    <hyperlink ref="I2" location="SOMMAIRE!A1" display="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13"/>
  <sheetViews>
    <sheetView showGridLines="0" workbookViewId="0"/>
  </sheetViews>
  <sheetFormatPr baseColWidth="10" defaultColWidth="9" defaultRowHeight="14.25"/>
  <cols>
    <col min="1" max="1" width="3" customWidth="1"/>
    <col min="2" max="2" width="51.125" customWidth="1"/>
    <col min="3" max="8" width="19" customWidth="1"/>
    <col min="9" max="9" width="18" customWidth="1"/>
    <col min="10" max="10" width="13" customWidth="1"/>
  </cols>
  <sheetData>
    <row r="1" spans="1:10">
      <c r="A1" s="42"/>
      <c r="B1" s="42"/>
      <c r="C1" s="42"/>
      <c r="D1" s="42"/>
      <c r="E1" s="42"/>
      <c r="F1" s="42"/>
      <c r="G1" s="42"/>
      <c r="H1" s="42"/>
      <c r="I1" s="42"/>
      <c r="J1" s="42"/>
    </row>
    <row r="2" spans="1:10" ht="19.5">
      <c r="A2" s="42"/>
      <c r="B2" s="43" t="s">
        <v>401</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404</v>
      </c>
      <c r="C7" s="46" t="s">
        <v>405</v>
      </c>
    </row>
    <row r="8" spans="1:10" ht="33.950000000000003" customHeight="1">
      <c r="B8" s="47" t="s">
        <v>407</v>
      </c>
      <c r="C8" s="46" t="s">
        <v>408</v>
      </c>
    </row>
    <row r="9" spans="1:10" ht="33.950000000000003" customHeight="1">
      <c r="B9" s="47" t="s">
        <v>411</v>
      </c>
      <c r="C9" s="46" t="s">
        <v>412</v>
      </c>
    </row>
    <row r="10" spans="1:10" ht="33.950000000000003" customHeight="1">
      <c r="B10" s="47" t="s">
        <v>414</v>
      </c>
      <c r="C10" s="46" t="s">
        <v>415</v>
      </c>
    </row>
    <row r="11" spans="1:10" ht="33.950000000000003" customHeight="1">
      <c r="B11" s="47" t="s">
        <v>418</v>
      </c>
      <c r="C11" s="46" t="s">
        <v>419</v>
      </c>
    </row>
    <row r="12" spans="1:10" ht="33.950000000000003" customHeight="1">
      <c r="B12" s="47" t="s">
        <v>422</v>
      </c>
      <c r="C12" s="46" t="s">
        <v>423</v>
      </c>
    </row>
    <row r="13" spans="1:10" ht="33.950000000000003" customHeight="1">
      <c r="B13" s="47" t="s">
        <v>425</v>
      </c>
      <c r="C13" s="46" t="s">
        <v>426</v>
      </c>
    </row>
    <row r="14" spans="1:10" ht="33.950000000000003" customHeight="1">
      <c r="B14" s="47" t="s">
        <v>429</v>
      </c>
      <c r="C14" s="46" t="s">
        <v>430</v>
      </c>
    </row>
    <row r="15" spans="1:10" ht="33.950000000000003" customHeight="1">
      <c r="B15" s="47" t="s">
        <v>432</v>
      </c>
      <c r="C15" s="46" t="s">
        <v>433</v>
      </c>
    </row>
    <row r="16" spans="1:10" ht="33.950000000000003" customHeight="1">
      <c r="B16" s="47" t="s">
        <v>436</v>
      </c>
      <c r="C16" s="46" t="s">
        <v>437</v>
      </c>
    </row>
    <row r="17" spans="2:9" ht="33.950000000000003" customHeight="1">
      <c r="B17" s="47" t="s">
        <v>393</v>
      </c>
      <c r="C17" s="46" t="s">
        <v>439</v>
      </c>
    </row>
    <row r="18" spans="2:9" ht="33.950000000000003" customHeight="1">
      <c r="B18" s="35" t="s">
        <v>442</v>
      </c>
      <c r="C18" s="34" t="s">
        <v>443</v>
      </c>
    </row>
    <row r="24" spans="2:9" ht="26.1" customHeight="1">
      <c r="B24" s="570" t="s">
        <v>1306</v>
      </c>
      <c r="C24" s="570"/>
      <c r="D24" s="570"/>
      <c r="E24" s="570"/>
      <c r="F24" s="570"/>
      <c r="G24" s="570"/>
      <c r="H24" s="570"/>
      <c r="I24" s="570"/>
    </row>
    <row r="26" spans="2:9" ht="24" customHeight="1">
      <c r="B26" s="548" t="s">
        <v>404</v>
      </c>
      <c r="C26" s="548"/>
      <c r="D26" s="548"/>
      <c r="E26" s="548"/>
      <c r="F26" s="548"/>
      <c r="G26" s="548"/>
      <c r="H26" s="548"/>
      <c r="I26" s="548"/>
    </row>
    <row r="28" spans="2:9" ht="24" customHeight="1">
      <c r="B28" s="560" t="s">
        <v>1307</v>
      </c>
      <c r="C28" s="560"/>
      <c r="D28" s="560"/>
      <c r="E28" s="560"/>
      <c r="F28" s="560"/>
      <c r="G28" s="560"/>
      <c r="H28" s="172" t="s">
        <v>901</v>
      </c>
      <c r="I28" s="141" t="s">
        <v>902</v>
      </c>
    </row>
    <row r="29" spans="2:9" ht="24" customHeight="1">
      <c r="B29" s="559" t="s">
        <v>1308</v>
      </c>
      <c r="C29" s="559"/>
      <c r="D29" s="559"/>
      <c r="E29" s="559"/>
      <c r="F29" s="559"/>
      <c r="G29" s="559"/>
      <c r="H29" s="559"/>
      <c r="I29" s="559"/>
    </row>
    <row r="30" spans="2:9" ht="24" customHeight="1">
      <c r="B30" s="559"/>
      <c r="C30" s="559"/>
      <c r="D30" s="559"/>
      <c r="E30" s="559"/>
      <c r="F30" s="559"/>
      <c r="G30" s="559"/>
      <c r="H30" s="559"/>
      <c r="I30" s="559"/>
    </row>
    <row r="32" spans="2:9">
      <c r="B32" s="175" t="s">
        <v>1309</v>
      </c>
      <c r="C32" s="175" t="s">
        <v>1310</v>
      </c>
      <c r="D32" s="175" t="s">
        <v>1311</v>
      </c>
      <c r="E32" s="175" t="s">
        <v>933</v>
      </c>
      <c r="F32" s="175" t="s">
        <v>1312</v>
      </c>
    </row>
    <row r="33" spans="1:9">
      <c r="B33" s="163" t="s">
        <v>1313</v>
      </c>
      <c r="C33" s="325" t="s">
        <v>1314</v>
      </c>
      <c r="D33" s="325" t="s">
        <v>1315</v>
      </c>
      <c r="E33" s="325">
        <v>24.9</v>
      </c>
      <c r="F33" s="332">
        <v>12</v>
      </c>
      <c r="G33" s="304"/>
    </row>
    <row r="34" spans="1:9">
      <c r="B34" s="163" t="s">
        <v>1316</v>
      </c>
      <c r="C34" s="325" t="s">
        <v>1317</v>
      </c>
      <c r="D34" s="325" t="s">
        <v>1315</v>
      </c>
      <c r="E34" s="325">
        <v>19.899999999999999</v>
      </c>
      <c r="F34" s="332">
        <v>8</v>
      </c>
      <c r="G34" s="304"/>
    </row>
    <row r="35" spans="1:9">
      <c r="B35" s="163" t="s">
        <v>1318</v>
      </c>
      <c r="C35" s="325" t="s">
        <v>1319</v>
      </c>
      <c r="D35" s="325" t="s">
        <v>1320</v>
      </c>
      <c r="E35" s="325">
        <v>34.5</v>
      </c>
      <c r="F35" s="332">
        <v>15</v>
      </c>
      <c r="G35" s="304"/>
    </row>
    <row r="36" spans="1:9">
      <c r="B36" s="163" t="s">
        <v>1321</v>
      </c>
      <c r="C36" s="325" t="s">
        <v>1322</v>
      </c>
      <c r="D36" s="325" t="s">
        <v>1323</v>
      </c>
      <c r="E36" s="325">
        <v>39.9</v>
      </c>
      <c r="F36" s="332">
        <v>7</v>
      </c>
      <c r="G36" s="304"/>
    </row>
    <row r="37" spans="1:9">
      <c r="B37" s="163" t="s">
        <v>1324</v>
      </c>
      <c r="C37" s="325" t="s">
        <v>1325</v>
      </c>
      <c r="D37" s="325" t="s">
        <v>1326</v>
      </c>
      <c r="E37" s="325">
        <v>29.9</v>
      </c>
      <c r="F37" s="332">
        <v>20</v>
      </c>
      <c r="G37" s="304"/>
    </row>
    <row r="38" spans="1:9">
      <c r="B38" s="163" t="s">
        <v>1327</v>
      </c>
      <c r="C38" s="325" t="s">
        <v>1328</v>
      </c>
      <c r="D38" s="325" t="s">
        <v>1329</v>
      </c>
      <c r="E38" s="325">
        <v>44.9</v>
      </c>
      <c r="F38" s="332">
        <v>9</v>
      </c>
      <c r="G38" s="304"/>
    </row>
    <row r="40" spans="1:9">
      <c r="G40" s="174" t="s">
        <v>1330</v>
      </c>
      <c r="H40" s="176" t="s">
        <v>1321</v>
      </c>
    </row>
    <row r="42" spans="1:9">
      <c r="B42" s="175" t="s">
        <v>1331</v>
      </c>
      <c r="C42" s="175" t="s">
        <v>1332</v>
      </c>
      <c r="D42" s="175" t="s">
        <v>1333</v>
      </c>
      <c r="E42" s="175" t="s">
        <v>1058</v>
      </c>
      <c r="F42" s="175" t="s">
        <v>1059</v>
      </c>
    </row>
    <row r="43" spans="1:9">
      <c r="A43" s="304"/>
      <c r="B43" s="354"/>
      <c r="C43" s="355"/>
      <c r="D43" s="355"/>
      <c r="E43" s="350"/>
      <c r="F43" s="351"/>
    </row>
    <row r="45" spans="1:9">
      <c r="H45" s="201" t="s">
        <v>909</v>
      </c>
      <c r="I45" s="203" t="str">
        <f>IF(COUNTA(B43:F43)&lt;5,"À faire",IF(AND(UPPER(SUBSTITUTE(B43,"$",""))="H40",UPPER(SUBSTITUTE(C43,"$",""))="B33:B38",UPPER(SUBSTITUTE(D43,"$",""))="E33:E38",LOWER(E43)="exacte",LOWER(F43)="code inconnu"),"✓ Correct","À revoir"))</f>
        <v>À faire</v>
      </c>
    </row>
    <row r="48" spans="1:9" ht="24" customHeight="1">
      <c r="B48" s="560" t="s">
        <v>1334</v>
      </c>
      <c r="C48" s="560"/>
      <c r="D48" s="560"/>
      <c r="E48" s="560"/>
      <c r="F48" s="560"/>
      <c r="G48" s="560"/>
      <c r="H48" s="172" t="s">
        <v>930</v>
      </c>
      <c r="I48" s="141" t="s">
        <v>902</v>
      </c>
    </row>
    <row r="49" spans="1:9" ht="24" customHeight="1">
      <c r="B49" s="559" t="s">
        <v>1335</v>
      </c>
      <c r="C49" s="559"/>
      <c r="D49" s="559"/>
      <c r="E49" s="559"/>
      <c r="F49" s="559"/>
      <c r="G49" s="559"/>
      <c r="H49" s="559"/>
      <c r="I49" s="559"/>
    </row>
    <row r="50" spans="1:9" ht="24" customHeight="1">
      <c r="B50" s="559"/>
      <c r="C50" s="559"/>
      <c r="D50" s="559"/>
      <c r="E50" s="559"/>
      <c r="F50" s="559"/>
      <c r="G50" s="559"/>
      <c r="H50" s="559"/>
      <c r="I50" s="559"/>
    </row>
    <row r="52" spans="1:9">
      <c r="B52" s="175" t="s">
        <v>1309</v>
      </c>
      <c r="C52" s="175" t="s">
        <v>1310</v>
      </c>
      <c r="D52" s="175" t="s">
        <v>1311</v>
      </c>
      <c r="E52" s="175" t="s">
        <v>933</v>
      </c>
      <c r="F52" s="175" t="s">
        <v>1312</v>
      </c>
    </row>
    <row r="53" spans="1:9">
      <c r="B53" s="163" t="s">
        <v>1313</v>
      </c>
      <c r="C53" s="325" t="s">
        <v>1314</v>
      </c>
      <c r="D53" s="325" t="s">
        <v>1315</v>
      </c>
      <c r="E53" s="325">
        <v>24.9</v>
      </c>
      <c r="F53" s="332">
        <v>12</v>
      </c>
      <c r="G53" s="304"/>
    </row>
    <row r="54" spans="1:9">
      <c r="B54" s="163" t="s">
        <v>1316</v>
      </c>
      <c r="C54" s="325" t="s">
        <v>1317</v>
      </c>
      <c r="D54" s="325" t="s">
        <v>1315</v>
      </c>
      <c r="E54" s="325">
        <v>19.899999999999999</v>
      </c>
      <c r="F54" s="332">
        <v>8</v>
      </c>
      <c r="G54" s="304"/>
    </row>
    <row r="55" spans="1:9">
      <c r="B55" s="163" t="s">
        <v>1318</v>
      </c>
      <c r="C55" s="325" t="s">
        <v>1319</v>
      </c>
      <c r="D55" s="325" t="s">
        <v>1320</v>
      </c>
      <c r="E55" s="325">
        <v>34.5</v>
      </c>
      <c r="F55" s="332">
        <v>15</v>
      </c>
      <c r="G55" s="304"/>
    </row>
    <row r="56" spans="1:9">
      <c r="B56" s="163" t="s">
        <v>1321</v>
      </c>
      <c r="C56" s="325" t="s">
        <v>1322</v>
      </c>
      <c r="D56" s="325" t="s">
        <v>1323</v>
      </c>
      <c r="E56" s="325">
        <v>39.9</v>
      </c>
      <c r="F56" s="332">
        <v>7</v>
      </c>
      <c r="G56" s="304"/>
    </row>
    <row r="57" spans="1:9">
      <c r="B57" s="163" t="s">
        <v>1324</v>
      </c>
      <c r="C57" s="325" t="s">
        <v>1325</v>
      </c>
      <c r="D57" s="325" t="s">
        <v>1326</v>
      </c>
      <c r="E57" s="325">
        <v>29.9</v>
      </c>
      <c r="F57" s="332">
        <v>20</v>
      </c>
      <c r="G57" s="304"/>
    </row>
    <row r="58" spans="1:9">
      <c r="B58" s="163" t="s">
        <v>1327</v>
      </c>
      <c r="C58" s="325" t="s">
        <v>1328</v>
      </c>
      <c r="D58" s="325" t="s">
        <v>1329</v>
      </c>
      <c r="E58" s="325">
        <v>44.9</v>
      </c>
      <c r="F58" s="332">
        <v>9</v>
      </c>
      <c r="G58" s="304"/>
    </row>
    <row r="60" spans="1:9">
      <c r="G60" s="174" t="s">
        <v>1336</v>
      </c>
      <c r="H60" s="176" t="s">
        <v>1319</v>
      </c>
    </row>
    <row r="62" spans="1:9">
      <c r="B62" s="175" t="s">
        <v>1331</v>
      </c>
      <c r="C62" s="175" t="s">
        <v>1332</v>
      </c>
      <c r="D62" s="175" t="s">
        <v>1333</v>
      </c>
      <c r="E62" s="175" t="s">
        <v>1058</v>
      </c>
      <c r="F62" s="175" t="s">
        <v>1059</v>
      </c>
    </row>
    <row r="63" spans="1:9">
      <c r="A63" s="304"/>
      <c r="B63" s="349"/>
      <c r="C63" s="350"/>
      <c r="D63" s="350"/>
      <c r="E63" s="350"/>
      <c r="F63" s="351"/>
    </row>
    <row r="65" spans="2:9">
      <c r="H65" s="201" t="s">
        <v>909</v>
      </c>
      <c r="I65" s="203" t="str">
        <f>IF(COUNTA(B63:F63)&lt;5,"À faire",IF(AND(UPPER(SUBSTITUTE(B63,"$",""))="H60",UPPER(SUBSTITUTE(C63,"$",""))="C53:C58",UPPER(SUBSTITUTE(D63,"$",""))="B53:B58",LOWER(E63)="exacte",LOWER(F63)="produit inconnu"),"✓ Correct","À revoir"))</f>
        <v>À faire</v>
      </c>
    </row>
    <row r="68" spans="2:9" ht="24" customHeight="1">
      <c r="B68" s="548" t="s">
        <v>407</v>
      </c>
      <c r="C68" s="548"/>
      <c r="D68" s="548"/>
      <c r="E68" s="548"/>
      <c r="F68" s="548"/>
      <c r="G68" s="548"/>
      <c r="H68" s="548"/>
      <c r="I68" s="548"/>
    </row>
    <row r="70" spans="2:9" ht="24" customHeight="1">
      <c r="B70" s="560" t="s">
        <v>1337</v>
      </c>
      <c r="C70" s="560"/>
      <c r="D70" s="560"/>
      <c r="E70" s="560"/>
      <c r="F70" s="560"/>
      <c r="G70" s="560"/>
      <c r="H70" s="172" t="s">
        <v>901</v>
      </c>
      <c r="I70" s="141" t="s">
        <v>902</v>
      </c>
    </row>
    <row r="71" spans="2:9" ht="24" customHeight="1">
      <c r="B71" s="559" t="s">
        <v>1338</v>
      </c>
      <c r="C71" s="559"/>
      <c r="D71" s="559"/>
      <c r="E71" s="559"/>
      <c r="F71" s="559"/>
      <c r="G71" s="559"/>
      <c r="H71" s="559"/>
      <c r="I71" s="559"/>
    </row>
    <row r="72" spans="2:9" ht="24" customHeight="1">
      <c r="B72" s="559"/>
      <c r="C72" s="559"/>
      <c r="D72" s="559"/>
      <c r="E72" s="559"/>
      <c r="F72" s="559"/>
      <c r="G72" s="559"/>
      <c r="H72" s="559"/>
      <c r="I72" s="559"/>
    </row>
    <row r="74" spans="2:9">
      <c r="B74" s="175" t="s">
        <v>1035</v>
      </c>
      <c r="C74" s="175" t="s">
        <v>1339</v>
      </c>
    </row>
    <row r="75" spans="2:9">
      <c r="B75" s="163" t="s">
        <v>1340</v>
      </c>
      <c r="C75" s="353"/>
    </row>
    <row r="76" spans="2:9">
      <c r="B76" s="163" t="s">
        <v>1341</v>
      </c>
      <c r="C76" s="353"/>
    </row>
    <row r="77" spans="2:9">
      <c r="B77" s="163" t="s">
        <v>1342</v>
      </c>
      <c r="C77" s="353"/>
    </row>
    <row r="78" spans="2:9">
      <c r="B78" s="163" t="s">
        <v>1343</v>
      </c>
      <c r="C78" s="353"/>
    </row>
    <row r="80" spans="2:9">
      <c r="H80" s="201" t="s">
        <v>909</v>
      </c>
      <c r="I80" s="203" t="str">
        <f>IF(COUNTA(C75:C78)&lt;4,"À faire",IF(AND(LOWER(C75)="exacte",LOWER(C76)="approximative",LOWER(C77)="exacte",LOWER(C78)="approximative"),"✓ Correct","À revoir"))</f>
        <v>À faire</v>
      </c>
    </row>
    <row r="83" spans="1:9" ht="24" customHeight="1">
      <c r="B83" s="560" t="s">
        <v>1344</v>
      </c>
      <c r="C83" s="560"/>
      <c r="D83" s="560"/>
      <c r="E83" s="560"/>
      <c r="F83" s="560"/>
      <c r="G83" s="560"/>
      <c r="H83" s="172" t="s">
        <v>930</v>
      </c>
      <c r="I83" s="141" t="s">
        <v>902</v>
      </c>
    </row>
    <row r="84" spans="1:9" ht="24" customHeight="1">
      <c r="B84" s="559" t="s">
        <v>1345</v>
      </c>
      <c r="C84" s="559"/>
      <c r="D84" s="559"/>
      <c r="E84" s="559"/>
      <c r="F84" s="559"/>
      <c r="G84" s="559"/>
      <c r="H84" s="559"/>
      <c r="I84" s="559"/>
    </row>
    <row r="85" spans="1:9" ht="24" customHeight="1">
      <c r="B85" s="559"/>
      <c r="C85" s="559"/>
      <c r="D85" s="559"/>
      <c r="E85" s="559"/>
      <c r="F85" s="559"/>
      <c r="G85" s="559"/>
      <c r="H85" s="559"/>
      <c r="I85" s="559"/>
    </row>
    <row r="87" spans="1:9">
      <c r="B87" s="175" t="s">
        <v>1346</v>
      </c>
      <c r="C87" s="175" t="s">
        <v>1347</v>
      </c>
    </row>
    <row r="88" spans="1:9">
      <c r="B88" s="163">
        <v>0</v>
      </c>
      <c r="C88" s="334">
        <v>0</v>
      </c>
      <c r="D88" s="304"/>
    </row>
    <row r="89" spans="1:9">
      <c r="B89" s="163">
        <v>10</v>
      </c>
      <c r="C89" s="334">
        <v>0.05</v>
      </c>
      <c r="D89" s="304"/>
    </row>
    <row r="90" spans="1:9">
      <c r="B90" s="163">
        <v>25</v>
      </c>
      <c r="C90" s="334">
        <v>0.1</v>
      </c>
      <c r="D90" s="304"/>
    </row>
    <row r="91" spans="1:9">
      <c r="B91" s="163">
        <v>50</v>
      </c>
      <c r="C91" s="334">
        <v>0.15</v>
      </c>
      <c r="D91" s="304"/>
    </row>
    <row r="93" spans="1:9">
      <c r="G93" s="174" t="s">
        <v>1348</v>
      </c>
      <c r="H93" s="176">
        <v>37</v>
      </c>
    </row>
    <row r="95" spans="1:9">
      <c r="B95" s="177" t="s">
        <v>1349</v>
      </c>
      <c r="C95" s="177" t="s">
        <v>1347</v>
      </c>
    </row>
    <row r="96" spans="1:9">
      <c r="A96" s="304"/>
      <c r="B96" s="349"/>
      <c r="C96" s="352"/>
    </row>
    <row r="98" spans="2:9">
      <c r="H98" s="201" t="s">
        <v>909</v>
      </c>
      <c r="I98" s="203" t="str">
        <f>IF(COUNTA(B96:C96)&lt;2,"À faire",IF(AND(B96=25,ABS(C96-0.1)&lt;0.0001),"✓ Correct","À revoir"))</f>
        <v>À faire</v>
      </c>
    </row>
    <row r="101" spans="2:9" ht="24" customHeight="1">
      <c r="B101" s="548" t="s">
        <v>411</v>
      </c>
      <c r="C101" s="548"/>
      <c r="D101" s="548"/>
      <c r="E101" s="548"/>
      <c r="F101" s="548"/>
      <c r="G101" s="548"/>
      <c r="H101" s="548"/>
      <c r="I101" s="548"/>
    </row>
    <row r="103" spans="2:9" ht="24" customHeight="1">
      <c r="B103" s="560" t="s">
        <v>1350</v>
      </c>
      <c r="C103" s="560"/>
      <c r="D103" s="560"/>
      <c r="E103" s="560"/>
      <c r="F103" s="560"/>
      <c r="G103" s="560"/>
      <c r="H103" s="172" t="s">
        <v>901</v>
      </c>
      <c r="I103" s="141" t="s">
        <v>902</v>
      </c>
    </row>
    <row r="104" spans="2:9" ht="24" customHeight="1">
      <c r="B104" s="559" t="s">
        <v>1351</v>
      </c>
      <c r="C104" s="559"/>
      <c r="D104" s="559"/>
      <c r="E104" s="559"/>
      <c r="F104" s="559"/>
      <c r="G104" s="559"/>
      <c r="H104" s="559"/>
      <c r="I104" s="559"/>
    </row>
    <row r="105" spans="2:9" ht="24" customHeight="1">
      <c r="B105" s="559"/>
      <c r="C105" s="559"/>
      <c r="D105" s="559"/>
      <c r="E105" s="559"/>
      <c r="F105" s="559"/>
      <c r="G105" s="559"/>
      <c r="H105" s="559"/>
      <c r="I105" s="559"/>
    </row>
    <row r="107" spans="2:9">
      <c r="B107" s="175" t="s">
        <v>1309</v>
      </c>
      <c r="C107" s="175" t="s">
        <v>1310</v>
      </c>
      <c r="D107" s="175" t="s">
        <v>1311</v>
      </c>
      <c r="E107" s="175" t="s">
        <v>933</v>
      </c>
      <c r="F107" s="175" t="s">
        <v>1312</v>
      </c>
    </row>
    <row r="108" spans="2:9">
      <c r="B108" s="163" t="s">
        <v>1313</v>
      </c>
      <c r="C108" s="325" t="s">
        <v>1314</v>
      </c>
      <c r="D108" s="325" t="s">
        <v>1315</v>
      </c>
      <c r="E108" s="325">
        <v>24.9</v>
      </c>
      <c r="F108" s="332">
        <v>12</v>
      </c>
      <c r="G108" s="304"/>
    </row>
    <row r="109" spans="2:9">
      <c r="B109" s="163" t="s">
        <v>1316</v>
      </c>
      <c r="C109" s="325" t="s">
        <v>1317</v>
      </c>
      <c r="D109" s="325" t="s">
        <v>1315</v>
      </c>
      <c r="E109" s="325">
        <v>19.899999999999999</v>
      </c>
      <c r="F109" s="332">
        <v>8</v>
      </c>
      <c r="G109" s="304"/>
    </row>
    <row r="110" spans="2:9">
      <c r="B110" s="163" t="s">
        <v>1318</v>
      </c>
      <c r="C110" s="325" t="s">
        <v>1319</v>
      </c>
      <c r="D110" s="325" t="s">
        <v>1320</v>
      </c>
      <c r="E110" s="325">
        <v>34.5</v>
      </c>
      <c r="F110" s="332">
        <v>15</v>
      </c>
      <c r="G110" s="304"/>
    </row>
    <row r="111" spans="2:9">
      <c r="B111" s="163" t="s">
        <v>1321</v>
      </c>
      <c r="C111" s="325" t="s">
        <v>1322</v>
      </c>
      <c r="D111" s="325" t="s">
        <v>1323</v>
      </c>
      <c r="E111" s="325">
        <v>39.9</v>
      </c>
      <c r="F111" s="332">
        <v>7</v>
      </c>
      <c r="G111" s="304"/>
    </row>
    <row r="112" spans="2:9">
      <c r="B112" s="163" t="s">
        <v>1324</v>
      </c>
      <c r="C112" s="325" t="s">
        <v>1325</v>
      </c>
      <c r="D112" s="325" t="s">
        <v>1326</v>
      </c>
      <c r="E112" s="325">
        <v>29.9</v>
      </c>
      <c r="F112" s="332">
        <v>20</v>
      </c>
      <c r="G112" s="304"/>
    </row>
    <row r="113" spans="2:9">
      <c r="B113" s="163" t="s">
        <v>1327</v>
      </c>
      <c r="C113" s="325" t="s">
        <v>1328</v>
      </c>
      <c r="D113" s="325" t="s">
        <v>1329</v>
      </c>
      <c r="E113" s="325">
        <v>44.9</v>
      </c>
      <c r="F113" s="332">
        <v>9</v>
      </c>
      <c r="G113" s="304"/>
    </row>
    <row r="115" spans="2:9">
      <c r="G115" s="174" t="s">
        <v>1330</v>
      </c>
      <c r="H115" s="176" t="s">
        <v>1321</v>
      </c>
    </row>
    <row r="117" spans="2:9">
      <c r="B117" s="346" t="s">
        <v>927</v>
      </c>
      <c r="C117" s="561"/>
      <c r="D117" s="562"/>
      <c r="E117" s="562"/>
      <c r="F117" s="563"/>
    </row>
    <row r="119" spans="2:9">
      <c r="H119" s="201" t="s">
        <v>909</v>
      </c>
      <c r="I119" s="203" t="str">
        <f>IF(COUNTA(C117)&lt;1,"À faire",IFERROR(IF(ABS(C117-39.9)&lt;0.0001,"✓ Correct","À revoir"),"À revoir"))</f>
        <v>À faire</v>
      </c>
    </row>
    <row r="122" spans="2:9" ht="24" customHeight="1">
      <c r="B122" s="560" t="s">
        <v>1352</v>
      </c>
      <c r="C122" s="560"/>
      <c r="D122" s="560"/>
      <c r="E122" s="560"/>
      <c r="F122" s="560"/>
      <c r="G122" s="560"/>
      <c r="H122" s="172" t="s">
        <v>930</v>
      </c>
      <c r="I122" s="141" t="s">
        <v>902</v>
      </c>
    </row>
    <row r="123" spans="2:9" ht="24" customHeight="1">
      <c r="B123" s="559" t="s">
        <v>1353</v>
      </c>
      <c r="C123" s="559"/>
      <c r="D123" s="559"/>
      <c r="E123" s="559"/>
      <c r="F123" s="559"/>
      <c r="G123" s="559"/>
      <c r="H123" s="559"/>
      <c r="I123" s="559"/>
    </row>
    <row r="124" spans="2:9" ht="24" customHeight="1">
      <c r="B124" s="559"/>
      <c r="C124" s="559"/>
      <c r="D124" s="559"/>
      <c r="E124" s="559"/>
      <c r="F124" s="559"/>
      <c r="G124" s="559"/>
      <c r="H124" s="559"/>
      <c r="I124" s="559"/>
    </row>
    <row r="126" spans="2:9">
      <c r="B126" s="175" t="s">
        <v>1309</v>
      </c>
      <c r="C126" s="175" t="s">
        <v>1310</v>
      </c>
      <c r="D126" s="175" t="s">
        <v>1311</v>
      </c>
      <c r="E126" s="175" t="s">
        <v>933</v>
      </c>
      <c r="F126" s="175" t="s">
        <v>1312</v>
      </c>
    </row>
    <row r="127" spans="2:9">
      <c r="B127" s="163" t="s">
        <v>1313</v>
      </c>
      <c r="C127" s="325" t="s">
        <v>1314</v>
      </c>
      <c r="D127" s="325" t="s">
        <v>1315</v>
      </c>
      <c r="E127" s="325">
        <v>24.9</v>
      </c>
      <c r="F127" s="332">
        <v>12</v>
      </c>
      <c r="G127" s="304"/>
    </row>
    <row r="128" spans="2:9">
      <c r="B128" s="163" t="s">
        <v>1316</v>
      </c>
      <c r="C128" s="325" t="s">
        <v>1317</v>
      </c>
      <c r="D128" s="325" t="s">
        <v>1315</v>
      </c>
      <c r="E128" s="325">
        <v>19.899999999999999</v>
      </c>
      <c r="F128" s="332">
        <v>8</v>
      </c>
      <c r="G128" s="304"/>
    </row>
    <row r="129" spans="2:9">
      <c r="B129" s="163" t="s">
        <v>1318</v>
      </c>
      <c r="C129" s="325" t="s">
        <v>1319</v>
      </c>
      <c r="D129" s="325" t="s">
        <v>1320</v>
      </c>
      <c r="E129" s="325">
        <v>34.5</v>
      </c>
      <c r="F129" s="332">
        <v>15</v>
      </c>
      <c r="G129" s="304"/>
    </row>
    <row r="130" spans="2:9">
      <c r="B130" s="163" t="s">
        <v>1321</v>
      </c>
      <c r="C130" s="325" t="s">
        <v>1322</v>
      </c>
      <c r="D130" s="325" t="s">
        <v>1323</v>
      </c>
      <c r="E130" s="325">
        <v>39.9</v>
      </c>
      <c r="F130" s="332">
        <v>7</v>
      </c>
      <c r="G130" s="304"/>
    </row>
    <row r="131" spans="2:9">
      <c r="B131" s="163" t="s">
        <v>1324</v>
      </c>
      <c r="C131" s="325" t="s">
        <v>1325</v>
      </c>
      <c r="D131" s="325" t="s">
        <v>1326</v>
      </c>
      <c r="E131" s="325">
        <v>29.9</v>
      </c>
      <c r="F131" s="332">
        <v>20</v>
      </c>
      <c r="G131" s="304"/>
    </row>
    <row r="132" spans="2:9">
      <c r="B132" s="163" t="s">
        <v>1327</v>
      </c>
      <c r="C132" s="325" t="s">
        <v>1328</v>
      </c>
      <c r="D132" s="325" t="s">
        <v>1329</v>
      </c>
      <c r="E132" s="325">
        <v>44.9</v>
      </c>
      <c r="F132" s="332">
        <v>9</v>
      </c>
      <c r="G132" s="304"/>
    </row>
    <row r="134" spans="2:9">
      <c r="G134" s="177" t="s">
        <v>1225</v>
      </c>
      <c r="H134" s="177" t="s">
        <v>1354</v>
      </c>
    </row>
    <row r="135" spans="2:9">
      <c r="G135" s="303" t="s">
        <v>1321</v>
      </c>
      <c r="H135" s="353"/>
    </row>
    <row r="136" spans="2:9">
      <c r="G136" s="303" t="s">
        <v>1313</v>
      </c>
      <c r="H136" s="353"/>
    </row>
    <row r="137" spans="2:9">
      <c r="G137" s="303" t="s">
        <v>1327</v>
      </c>
      <c r="H137" s="353"/>
    </row>
    <row r="139" spans="2:9">
      <c r="H139" s="201" t="s">
        <v>909</v>
      </c>
      <c r="I139" s="203" t="str">
        <f>IF(COUNTA(H135:H137)&lt;3,"À faire",IF(IFERROR(AND(H135=7,H136=12,H137=9),FALSE),"✓ Correct","À revoir"))</f>
        <v>À faire</v>
      </c>
    </row>
    <row r="142" spans="2:9" ht="24" customHeight="1">
      <c r="B142" s="560" t="s">
        <v>1355</v>
      </c>
      <c r="C142" s="560"/>
      <c r="D142" s="560"/>
      <c r="E142" s="560"/>
      <c r="F142" s="560"/>
      <c r="G142" s="560"/>
      <c r="H142" s="172" t="s">
        <v>930</v>
      </c>
      <c r="I142" s="141" t="s">
        <v>902</v>
      </c>
    </row>
    <row r="143" spans="2:9" ht="24" customHeight="1">
      <c r="B143" s="559" t="s">
        <v>1356</v>
      </c>
      <c r="C143" s="559"/>
      <c r="D143" s="559"/>
      <c r="E143" s="559"/>
      <c r="F143" s="559"/>
      <c r="G143" s="559"/>
      <c r="H143" s="559"/>
      <c r="I143" s="559"/>
    </row>
    <row r="144" spans="2:9" ht="24" customHeight="1">
      <c r="B144" s="559"/>
      <c r="C144" s="559"/>
      <c r="D144" s="559"/>
      <c r="E144" s="559"/>
      <c r="F144" s="559"/>
      <c r="G144" s="559"/>
      <c r="H144" s="559"/>
      <c r="I144" s="559"/>
    </row>
    <row r="146" spans="2:9">
      <c r="B146" s="175" t="s">
        <v>1309</v>
      </c>
      <c r="C146" s="175" t="s">
        <v>1310</v>
      </c>
      <c r="D146" s="175" t="s">
        <v>1311</v>
      </c>
      <c r="E146" s="175" t="s">
        <v>933</v>
      </c>
      <c r="F146" s="175" t="s">
        <v>1312</v>
      </c>
    </row>
    <row r="147" spans="2:9">
      <c r="B147" s="163" t="s">
        <v>1313</v>
      </c>
      <c r="C147" s="325" t="s">
        <v>1314</v>
      </c>
      <c r="D147" s="325" t="s">
        <v>1315</v>
      </c>
      <c r="E147" s="325">
        <v>24.9</v>
      </c>
      <c r="F147" s="332">
        <v>12</v>
      </c>
      <c r="G147" s="304"/>
    </row>
    <row r="148" spans="2:9">
      <c r="B148" s="163" t="s">
        <v>1316</v>
      </c>
      <c r="C148" s="325" t="s">
        <v>1317</v>
      </c>
      <c r="D148" s="325" t="s">
        <v>1315</v>
      </c>
      <c r="E148" s="325">
        <v>19.899999999999999</v>
      </c>
      <c r="F148" s="332">
        <v>8</v>
      </c>
      <c r="G148" s="304"/>
    </row>
    <row r="149" spans="2:9">
      <c r="B149" s="163" t="s">
        <v>1318</v>
      </c>
      <c r="C149" s="325" t="s">
        <v>1319</v>
      </c>
      <c r="D149" s="325" t="s">
        <v>1320</v>
      </c>
      <c r="E149" s="325">
        <v>34.5</v>
      </c>
      <c r="F149" s="332">
        <v>15</v>
      </c>
      <c r="G149" s="304"/>
    </row>
    <row r="150" spans="2:9">
      <c r="B150" s="163" t="s">
        <v>1321</v>
      </c>
      <c r="C150" s="325" t="s">
        <v>1322</v>
      </c>
      <c r="D150" s="325" t="s">
        <v>1323</v>
      </c>
      <c r="E150" s="325">
        <v>39.9</v>
      </c>
      <c r="F150" s="332">
        <v>7</v>
      </c>
      <c r="G150" s="304"/>
    </row>
    <row r="151" spans="2:9">
      <c r="B151" s="163" t="s">
        <v>1324</v>
      </c>
      <c r="C151" s="325" t="s">
        <v>1325</v>
      </c>
      <c r="D151" s="325" t="s">
        <v>1326</v>
      </c>
      <c r="E151" s="325">
        <v>29.9</v>
      </c>
      <c r="F151" s="332">
        <v>20</v>
      </c>
      <c r="G151" s="304"/>
    </row>
    <row r="152" spans="2:9">
      <c r="B152" s="163" t="s">
        <v>1327</v>
      </c>
      <c r="C152" s="325" t="s">
        <v>1328</v>
      </c>
      <c r="D152" s="325" t="s">
        <v>1329</v>
      </c>
      <c r="E152" s="325">
        <v>44.9</v>
      </c>
      <c r="F152" s="332">
        <v>9</v>
      </c>
      <c r="G152" s="304"/>
    </row>
    <row r="154" spans="2:9">
      <c r="G154" s="174" t="s">
        <v>1336</v>
      </c>
      <c r="H154" s="176" t="s">
        <v>1319</v>
      </c>
    </row>
    <row r="156" spans="2:9">
      <c r="B156" s="346" t="s">
        <v>927</v>
      </c>
      <c r="C156" s="561"/>
      <c r="D156" s="562"/>
      <c r="E156" s="562"/>
      <c r="F156" s="563"/>
    </row>
    <row r="158" spans="2:9">
      <c r="H158" s="201" t="s">
        <v>909</v>
      </c>
      <c r="I158" s="203" t="str">
        <f>IF(COUNTA(C156)&lt;1,"À faire",IFERROR(IF(ABS(C156-34.5)&lt;0.0001,"✓ Correct","À revoir"),"À revoir"))</f>
        <v>À faire</v>
      </c>
    </row>
    <row r="161" spans="2:9" ht="24" customHeight="1">
      <c r="B161" s="560" t="s">
        <v>1357</v>
      </c>
      <c r="C161" s="560"/>
      <c r="D161" s="560"/>
      <c r="E161" s="560"/>
      <c r="F161" s="560"/>
      <c r="G161" s="560"/>
      <c r="H161" s="172" t="s">
        <v>930</v>
      </c>
      <c r="I161" s="141" t="s">
        <v>902</v>
      </c>
    </row>
    <row r="162" spans="2:9" ht="24" customHeight="1">
      <c r="B162" s="559" t="s">
        <v>1358</v>
      </c>
      <c r="C162" s="559"/>
      <c r="D162" s="559"/>
      <c r="E162" s="559"/>
      <c r="F162" s="559"/>
      <c r="G162" s="559"/>
      <c r="H162" s="559"/>
      <c r="I162" s="559"/>
    </row>
    <row r="163" spans="2:9" ht="24" customHeight="1">
      <c r="B163" s="559"/>
      <c r="C163" s="559"/>
      <c r="D163" s="559"/>
      <c r="E163" s="559"/>
      <c r="F163" s="559"/>
      <c r="G163" s="559"/>
      <c r="H163" s="559"/>
      <c r="I163" s="559"/>
    </row>
    <row r="165" spans="2:9">
      <c r="B165" s="175" t="s">
        <v>1346</v>
      </c>
      <c r="C165" s="175" t="s">
        <v>1347</v>
      </c>
    </row>
    <row r="166" spans="2:9">
      <c r="B166" s="163">
        <v>0</v>
      </c>
      <c r="C166" s="334">
        <v>0</v>
      </c>
      <c r="D166" s="304"/>
    </row>
    <row r="167" spans="2:9">
      <c r="B167" s="163">
        <v>10</v>
      </c>
      <c r="C167" s="334">
        <v>0.05</v>
      </c>
      <c r="D167" s="304"/>
    </row>
    <row r="168" spans="2:9">
      <c r="B168" s="163">
        <v>25</v>
      </c>
      <c r="C168" s="334">
        <v>0.1</v>
      </c>
      <c r="D168" s="304"/>
    </row>
    <row r="169" spans="2:9">
      <c r="B169" s="163">
        <v>50</v>
      </c>
      <c r="C169" s="334">
        <v>0.15</v>
      </c>
      <c r="D169" s="304"/>
    </row>
    <row r="170" spans="2:9">
      <c r="B170" s="163">
        <v>100</v>
      </c>
      <c r="C170" s="334">
        <v>0.2</v>
      </c>
      <c r="D170" s="304"/>
    </row>
    <row r="172" spans="2:9">
      <c r="G172" s="174" t="s">
        <v>1348</v>
      </c>
      <c r="H172" s="176">
        <v>37</v>
      </c>
    </row>
    <row r="174" spans="2:9">
      <c r="B174" s="346" t="s">
        <v>927</v>
      </c>
      <c r="C174" s="567"/>
      <c r="D174" s="568"/>
      <c r="E174" s="568"/>
      <c r="F174" s="569"/>
    </row>
    <row r="176" spans="2:9">
      <c r="H176" s="201" t="s">
        <v>909</v>
      </c>
      <c r="I176" s="203" t="str">
        <f>IF(COUNTA(C174)&lt;1,"À faire",IFERROR(IF(ABS(C174-0.1)&lt;0.0001,"✓ Correct","À revoir"),"À revoir"))</f>
        <v>À faire</v>
      </c>
    </row>
    <row r="179" spans="2:9" ht="24" customHeight="1">
      <c r="B179" s="548" t="s">
        <v>414</v>
      </c>
      <c r="C179" s="548"/>
      <c r="D179" s="548"/>
      <c r="E179" s="548"/>
      <c r="F179" s="548"/>
      <c r="G179" s="548"/>
      <c r="H179" s="548"/>
      <c r="I179" s="548"/>
    </row>
    <row r="181" spans="2:9" ht="24" customHeight="1">
      <c r="B181" s="560" t="s">
        <v>1359</v>
      </c>
      <c r="C181" s="560"/>
      <c r="D181" s="560"/>
      <c r="E181" s="560"/>
      <c r="F181" s="560"/>
      <c r="G181" s="560"/>
      <c r="H181" s="172" t="s">
        <v>901</v>
      </c>
      <c r="I181" s="141" t="s">
        <v>902</v>
      </c>
    </row>
    <row r="182" spans="2:9" ht="24" customHeight="1">
      <c r="B182" s="559" t="s">
        <v>1360</v>
      </c>
      <c r="C182" s="559"/>
      <c r="D182" s="559"/>
      <c r="E182" s="559"/>
      <c r="F182" s="559"/>
      <c r="G182" s="559"/>
      <c r="H182" s="559"/>
      <c r="I182" s="559"/>
    </row>
    <row r="183" spans="2:9" ht="24" customHeight="1">
      <c r="B183" s="559"/>
      <c r="C183" s="559"/>
      <c r="D183" s="559"/>
      <c r="E183" s="559"/>
      <c r="F183" s="559"/>
      <c r="G183" s="559"/>
      <c r="H183" s="559"/>
      <c r="I183" s="559"/>
    </row>
    <row r="185" spans="2:9">
      <c r="B185" s="177" t="s">
        <v>1361</v>
      </c>
      <c r="C185" s="177" t="s">
        <v>1362</v>
      </c>
      <c r="D185" s="177" t="s">
        <v>1363</v>
      </c>
      <c r="E185" s="177" t="s">
        <v>1364</v>
      </c>
    </row>
    <row r="186" spans="2:9">
      <c r="B186" s="178">
        <v>12500</v>
      </c>
      <c r="C186" s="179">
        <v>13800</v>
      </c>
      <c r="D186" s="179">
        <v>14250</v>
      </c>
      <c r="E186" s="180">
        <v>15100</v>
      </c>
      <c r="F186" s="304"/>
    </row>
    <row r="188" spans="2:9">
      <c r="G188" s="174" t="s">
        <v>1365</v>
      </c>
      <c r="H188" s="176" t="s">
        <v>1363</v>
      </c>
    </row>
    <row r="190" spans="2:9">
      <c r="B190" s="346" t="s">
        <v>927</v>
      </c>
      <c r="C190" s="564"/>
      <c r="D190" s="565"/>
      <c r="E190" s="565"/>
      <c r="F190" s="566"/>
    </row>
    <row r="192" spans="2:9">
      <c r="H192" s="201" t="s">
        <v>909</v>
      </c>
      <c r="I192" s="203" t="str">
        <f>IF(COUNTA(C190)&lt;1,"À faire",IFERROR(IF(C190=14250,"✓ Correct","À revoir"),"À revoir"))</f>
        <v>À faire</v>
      </c>
    </row>
    <row r="195" spans="2:9" ht="24" customHeight="1">
      <c r="B195" s="548" t="s">
        <v>418</v>
      </c>
      <c r="C195" s="548"/>
      <c r="D195" s="548"/>
      <c r="E195" s="548"/>
      <c r="F195" s="548"/>
      <c r="G195" s="548"/>
      <c r="H195" s="548"/>
      <c r="I195" s="548"/>
    </row>
    <row r="197" spans="2:9" ht="24" customHeight="1">
      <c r="B197" s="560" t="s">
        <v>1366</v>
      </c>
      <c r="C197" s="560"/>
      <c r="D197" s="560"/>
      <c r="E197" s="560"/>
      <c r="F197" s="560"/>
      <c r="G197" s="560"/>
      <c r="H197" s="172" t="s">
        <v>901</v>
      </c>
      <c r="I197" s="141" t="s">
        <v>902</v>
      </c>
    </row>
    <row r="198" spans="2:9" ht="24" customHeight="1">
      <c r="B198" s="559" t="s">
        <v>1367</v>
      </c>
      <c r="C198" s="559"/>
      <c r="D198" s="559"/>
      <c r="E198" s="559"/>
      <c r="F198" s="559"/>
      <c r="G198" s="559"/>
      <c r="H198" s="559"/>
      <c r="I198" s="559"/>
    </row>
    <row r="199" spans="2:9" ht="24" customHeight="1">
      <c r="B199" s="559"/>
      <c r="C199" s="559"/>
      <c r="D199" s="559"/>
      <c r="E199" s="559"/>
      <c r="F199" s="559"/>
      <c r="G199" s="559"/>
      <c r="H199" s="559"/>
      <c r="I199" s="559"/>
    </row>
    <row r="201" spans="2:9">
      <c r="B201" s="175" t="s">
        <v>1309</v>
      </c>
    </row>
    <row r="202" spans="2:9">
      <c r="B202" s="333" t="s">
        <v>1313</v>
      </c>
      <c r="C202" s="304"/>
    </row>
    <row r="203" spans="2:9">
      <c r="B203" s="333" t="s">
        <v>1316</v>
      </c>
      <c r="C203" s="304"/>
    </row>
    <row r="204" spans="2:9">
      <c r="B204" s="333" t="s">
        <v>1318</v>
      </c>
      <c r="C204" s="304"/>
    </row>
    <row r="205" spans="2:9">
      <c r="B205" s="333" t="s">
        <v>1321</v>
      </c>
      <c r="C205" s="304"/>
    </row>
    <row r="206" spans="2:9">
      <c r="B206" s="333" t="s">
        <v>1324</v>
      </c>
      <c r="C206" s="304"/>
    </row>
    <row r="207" spans="2:9">
      <c r="B207" s="333" t="s">
        <v>1327</v>
      </c>
      <c r="C207" s="304"/>
    </row>
    <row r="209" spans="2:9">
      <c r="G209" s="174" t="s">
        <v>1368</v>
      </c>
      <c r="H209" s="176" t="s">
        <v>1321</v>
      </c>
    </row>
    <row r="211" spans="2:9">
      <c r="B211" s="346" t="s">
        <v>927</v>
      </c>
      <c r="C211" s="556"/>
      <c r="D211" s="557"/>
      <c r="E211" s="557"/>
      <c r="F211" s="558"/>
    </row>
    <row r="213" spans="2:9">
      <c r="H213" s="201" t="s">
        <v>909</v>
      </c>
      <c r="I213" s="203" t="str">
        <f>IF(COUNTA(C211)&lt;1,"À faire",IFERROR(IF(ABS(C211-4)&lt;0.0001,"✓ Correct","À revoir"),"À revoir"))</f>
        <v>À faire</v>
      </c>
    </row>
    <row r="216" spans="2:9" ht="24" customHeight="1">
      <c r="B216" s="560" t="s">
        <v>1369</v>
      </c>
      <c r="C216" s="560"/>
      <c r="D216" s="560"/>
      <c r="E216" s="560"/>
      <c r="F216" s="560"/>
      <c r="G216" s="560"/>
      <c r="H216" s="172" t="s">
        <v>930</v>
      </c>
      <c r="I216" s="141" t="s">
        <v>902</v>
      </c>
    </row>
    <row r="217" spans="2:9" ht="24" customHeight="1">
      <c r="B217" s="559" t="s">
        <v>1370</v>
      </c>
      <c r="C217" s="559"/>
      <c r="D217" s="559"/>
      <c r="E217" s="559"/>
      <c r="F217" s="559"/>
      <c r="G217" s="559"/>
      <c r="H217" s="559"/>
      <c r="I217" s="559"/>
    </row>
    <row r="218" spans="2:9" ht="24" customHeight="1">
      <c r="B218" s="559"/>
      <c r="C218" s="559"/>
      <c r="D218" s="559"/>
      <c r="E218" s="559"/>
      <c r="F218" s="559"/>
      <c r="G218" s="559"/>
      <c r="H218" s="559"/>
      <c r="I218" s="559"/>
    </row>
    <row r="220" spans="2:9">
      <c r="B220" s="175" t="s">
        <v>1310</v>
      </c>
    </row>
    <row r="221" spans="2:9">
      <c r="B221" s="333" t="s">
        <v>1314</v>
      </c>
      <c r="C221" s="304"/>
    </row>
    <row r="222" spans="2:9">
      <c r="B222" s="333" t="s">
        <v>1317</v>
      </c>
      <c r="C222" s="304"/>
    </row>
    <row r="223" spans="2:9">
      <c r="B223" s="333" t="s">
        <v>1319</v>
      </c>
      <c r="C223" s="304"/>
    </row>
    <row r="224" spans="2:9">
      <c r="B224" s="333" t="s">
        <v>1322</v>
      </c>
      <c r="C224" s="304"/>
    </row>
    <row r="225" spans="2:9">
      <c r="B225" s="333" t="s">
        <v>1325</v>
      </c>
      <c r="C225" s="304"/>
    </row>
    <row r="226" spans="2:9">
      <c r="B226" s="333" t="s">
        <v>1328</v>
      </c>
      <c r="C226" s="304"/>
    </row>
    <row r="228" spans="2:9">
      <c r="G228" s="174" t="s">
        <v>1336</v>
      </c>
      <c r="H228" s="176" t="s">
        <v>1319</v>
      </c>
    </row>
    <row r="230" spans="2:9">
      <c r="B230" s="346" t="s">
        <v>927</v>
      </c>
      <c r="C230" s="556"/>
      <c r="D230" s="557"/>
      <c r="E230" s="557"/>
      <c r="F230" s="558"/>
    </row>
    <row r="232" spans="2:9">
      <c r="H232" s="201" t="s">
        <v>909</v>
      </c>
      <c r="I232" s="203" t="str">
        <f>IF(COUNTA(C230)&lt;1,"À faire",IFERROR(IF(ABS(C230-3)&lt;0.0001,"✓ Correct","À revoir"),"À revoir"))</f>
        <v>À faire</v>
      </c>
    </row>
    <row r="235" spans="2:9" ht="24" customHeight="1">
      <c r="B235" s="548" t="s">
        <v>422</v>
      </c>
      <c r="C235" s="548"/>
      <c r="D235" s="548"/>
      <c r="E235" s="548"/>
      <c r="F235" s="548"/>
      <c r="G235" s="548"/>
      <c r="H235" s="548"/>
      <c r="I235" s="548"/>
    </row>
    <row r="237" spans="2:9" ht="24" customHeight="1">
      <c r="B237" s="560" t="s">
        <v>1371</v>
      </c>
      <c r="C237" s="560"/>
      <c r="D237" s="560"/>
      <c r="E237" s="560"/>
      <c r="F237" s="560"/>
      <c r="G237" s="560"/>
      <c r="H237" s="172" t="s">
        <v>901</v>
      </c>
      <c r="I237" s="141" t="s">
        <v>902</v>
      </c>
    </row>
    <row r="238" spans="2:9" ht="24" customHeight="1">
      <c r="B238" s="559" t="s">
        <v>1372</v>
      </c>
      <c r="C238" s="559"/>
      <c r="D238" s="559"/>
      <c r="E238" s="559"/>
      <c r="F238" s="559"/>
      <c r="G238" s="559"/>
      <c r="H238" s="559"/>
      <c r="I238" s="559"/>
    </row>
    <row r="239" spans="2:9" ht="24" customHeight="1">
      <c r="B239" s="559"/>
      <c r="C239" s="559"/>
      <c r="D239" s="559"/>
      <c r="E239" s="559"/>
      <c r="F239" s="559"/>
      <c r="G239" s="559"/>
      <c r="H239" s="559"/>
      <c r="I239" s="559"/>
    </row>
    <row r="241" spans="2:9">
      <c r="B241" s="175" t="s">
        <v>933</v>
      </c>
    </row>
    <row r="242" spans="2:9">
      <c r="B242" s="335">
        <v>24.9</v>
      </c>
      <c r="C242" s="304"/>
    </row>
    <row r="243" spans="2:9">
      <c r="B243" s="335">
        <v>19.899999999999999</v>
      </c>
      <c r="C243" s="304"/>
    </row>
    <row r="244" spans="2:9">
      <c r="B244" s="335">
        <v>34.5</v>
      </c>
      <c r="C244" s="304"/>
    </row>
    <row r="245" spans="2:9">
      <c r="B245" s="335">
        <v>39.9</v>
      </c>
      <c r="C245" s="304"/>
    </row>
    <row r="246" spans="2:9">
      <c r="B246" s="335">
        <v>29.9</v>
      </c>
      <c r="C246" s="304"/>
    </row>
    <row r="247" spans="2:9">
      <c r="B247" s="335">
        <v>44.9</v>
      </c>
      <c r="C247" s="304"/>
    </row>
    <row r="249" spans="2:9">
      <c r="G249" s="174" t="s">
        <v>1373</v>
      </c>
      <c r="H249" s="176">
        <v>4</v>
      </c>
    </row>
    <row r="251" spans="2:9">
      <c r="B251" s="346" t="s">
        <v>927</v>
      </c>
      <c r="C251" s="561"/>
      <c r="D251" s="562"/>
      <c r="E251" s="562"/>
      <c r="F251" s="563"/>
    </row>
    <row r="253" spans="2:9">
      <c r="H253" s="201" t="s">
        <v>909</v>
      </c>
      <c r="I253" s="203" t="str">
        <f>IF(COUNTA(C251)&lt;1,"À faire",IFERROR(IF(ABS(C251-39.9)&lt;0.0001,"✓ Correct","À revoir"),"À revoir"))</f>
        <v>À faire</v>
      </c>
    </row>
    <row r="256" spans="2:9" ht="24" customHeight="1">
      <c r="B256" s="560" t="s">
        <v>1374</v>
      </c>
      <c r="C256" s="560"/>
      <c r="D256" s="560"/>
      <c r="E256" s="560"/>
      <c r="F256" s="560"/>
      <c r="G256" s="560"/>
      <c r="H256" s="172" t="s">
        <v>930</v>
      </c>
      <c r="I256" s="141" t="s">
        <v>902</v>
      </c>
    </row>
    <row r="257" spans="2:9" ht="24" customHeight="1">
      <c r="B257" s="559" t="s">
        <v>1375</v>
      </c>
      <c r="C257" s="559"/>
      <c r="D257" s="559"/>
      <c r="E257" s="559"/>
      <c r="F257" s="559"/>
      <c r="G257" s="559"/>
      <c r="H257" s="559"/>
      <c r="I257" s="559"/>
    </row>
    <row r="258" spans="2:9" ht="24" customHeight="1">
      <c r="B258" s="559"/>
      <c r="C258" s="559"/>
      <c r="D258" s="559"/>
      <c r="E258" s="559"/>
      <c r="F258" s="559"/>
      <c r="G258" s="559"/>
      <c r="H258" s="559"/>
      <c r="I258" s="559"/>
    </row>
    <row r="260" spans="2:9">
      <c r="B260" s="175" t="s">
        <v>1376</v>
      </c>
      <c r="C260" s="175" t="s">
        <v>1377</v>
      </c>
      <c r="D260" s="175" t="s">
        <v>1378</v>
      </c>
    </row>
    <row r="261" spans="2:9">
      <c r="B261" s="163">
        <v>120</v>
      </c>
      <c r="C261" s="325">
        <v>135</v>
      </c>
      <c r="D261" s="332">
        <v>150</v>
      </c>
      <c r="E261" s="304"/>
    </row>
    <row r="262" spans="2:9">
      <c r="B262" s="163">
        <v>95</v>
      </c>
      <c r="C262" s="325">
        <v>110</v>
      </c>
      <c r="D262" s="332">
        <v>125</v>
      </c>
      <c r="E262" s="304"/>
    </row>
    <row r="263" spans="2:9">
      <c r="B263" s="163">
        <v>180</v>
      </c>
      <c r="C263" s="325">
        <v>190</v>
      </c>
      <c r="D263" s="332">
        <v>210</v>
      </c>
      <c r="E263" s="304"/>
    </row>
    <row r="265" spans="2:9">
      <c r="G265" s="173" t="s">
        <v>1379</v>
      </c>
      <c r="H265" s="176">
        <v>2</v>
      </c>
    </row>
    <row r="266" spans="2:9">
      <c r="G266" s="173" t="s">
        <v>1380</v>
      </c>
      <c r="H266" s="176">
        <v>3</v>
      </c>
    </row>
    <row r="268" spans="2:9">
      <c r="B268" s="346" t="s">
        <v>927</v>
      </c>
      <c r="C268" s="556"/>
      <c r="D268" s="557"/>
      <c r="E268" s="557"/>
      <c r="F268" s="558"/>
    </row>
    <row r="270" spans="2:9">
      <c r="H270" s="201" t="s">
        <v>909</v>
      </c>
      <c r="I270" s="203" t="str">
        <f>IF(COUNTA(C268)&lt;1,"À faire",IFERROR(IF(C268=125,"✓ Correct","À revoir"),"À revoir"))</f>
        <v>À faire</v>
      </c>
    </row>
    <row r="273" spans="2:9" ht="24" customHeight="1">
      <c r="B273" s="548" t="s">
        <v>425</v>
      </c>
      <c r="C273" s="548"/>
      <c r="D273" s="548"/>
      <c r="E273" s="548"/>
      <c r="F273" s="548"/>
      <c r="G273" s="548"/>
      <c r="H273" s="548"/>
      <c r="I273" s="548"/>
    </row>
    <row r="275" spans="2:9" ht="24" customHeight="1">
      <c r="B275" s="560" t="s">
        <v>1381</v>
      </c>
      <c r="C275" s="560"/>
      <c r="D275" s="560"/>
      <c r="E275" s="560"/>
      <c r="F275" s="560"/>
      <c r="G275" s="560"/>
      <c r="H275" s="172" t="s">
        <v>930</v>
      </c>
      <c r="I275" s="141" t="s">
        <v>902</v>
      </c>
    </row>
    <row r="276" spans="2:9" ht="24" customHeight="1">
      <c r="B276" s="559" t="s">
        <v>1382</v>
      </c>
      <c r="C276" s="559"/>
      <c r="D276" s="559"/>
      <c r="E276" s="559"/>
      <c r="F276" s="559"/>
      <c r="G276" s="559"/>
      <c r="H276" s="559"/>
      <c r="I276" s="559"/>
    </row>
    <row r="277" spans="2:9" ht="24" customHeight="1">
      <c r="B277" s="559"/>
      <c r="C277" s="559"/>
      <c r="D277" s="559"/>
      <c r="E277" s="559"/>
      <c r="F277" s="559"/>
      <c r="G277" s="559"/>
      <c r="H277" s="559"/>
      <c r="I277" s="559"/>
    </row>
    <row r="279" spans="2:9">
      <c r="B279" s="175" t="s">
        <v>1309</v>
      </c>
      <c r="C279" s="175" t="s">
        <v>1310</v>
      </c>
      <c r="D279" s="175" t="s">
        <v>1311</v>
      </c>
      <c r="E279" s="175" t="s">
        <v>933</v>
      </c>
      <c r="F279" s="175" t="s">
        <v>1312</v>
      </c>
    </row>
    <row r="280" spans="2:9">
      <c r="B280" s="163" t="s">
        <v>1313</v>
      </c>
      <c r="C280" s="325" t="s">
        <v>1314</v>
      </c>
      <c r="D280" s="325" t="s">
        <v>1315</v>
      </c>
      <c r="E280" s="325">
        <v>24.9</v>
      </c>
      <c r="F280" s="332">
        <v>12</v>
      </c>
      <c r="G280" s="304"/>
    </row>
    <row r="281" spans="2:9">
      <c r="B281" s="163" t="s">
        <v>1316</v>
      </c>
      <c r="C281" s="325" t="s">
        <v>1317</v>
      </c>
      <c r="D281" s="325" t="s">
        <v>1315</v>
      </c>
      <c r="E281" s="325">
        <v>19.899999999999999</v>
      </c>
      <c r="F281" s="332">
        <v>8</v>
      </c>
      <c r="G281" s="304"/>
    </row>
    <row r="282" spans="2:9">
      <c r="B282" s="163" t="s">
        <v>1318</v>
      </c>
      <c r="C282" s="325" t="s">
        <v>1319</v>
      </c>
      <c r="D282" s="325" t="s">
        <v>1320</v>
      </c>
      <c r="E282" s="325">
        <v>34.5</v>
      </c>
      <c r="F282" s="332">
        <v>15</v>
      </c>
      <c r="G282" s="304"/>
    </row>
    <row r="283" spans="2:9">
      <c r="B283" s="163" t="s">
        <v>1321</v>
      </c>
      <c r="C283" s="325" t="s">
        <v>1322</v>
      </c>
      <c r="D283" s="325" t="s">
        <v>1323</v>
      </c>
      <c r="E283" s="325">
        <v>39.9</v>
      </c>
      <c r="F283" s="332">
        <v>7</v>
      </c>
      <c r="G283" s="304"/>
    </row>
    <row r="284" spans="2:9">
      <c r="B284" s="163" t="s">
        <v>1324</v>
      </c>
      <c r="C284" s="325" t="s">
        <v>1325</v>
      </c>
      <c r="D284" s="325" t="s">
        <v>1326</v>
      </c>
      <c r="E284" s="325">
        <v>29.9</v>
      </c>
      <c r="F284" s="332">
        <v>20</v>
      </c>
      <c r="G284" s="304"/>
    </row>
    <row r="285" spans="2:9">
      <c r="B285" s="163" t="s">
        <v>1327</v>
      </c>
      <c r="C285" s="325" t="s">
        <v>1328</v>
      </c>
      <c r="D285" s="325" t="s">
        <v>1329</v>
      </c>
      <c r="E285" s="325">
        <v>44.9</v>
      </c>
      <c r="F285" s="332">
        <v>9</v>
      </c>
      <c r="G285" s="304"/>
    </row>
    <row r="287" spans="2:9">
      <c r="G287" s="174" t="s">
        <v>1330</v>
      </c>
      <c r="H287" s="176" t="s">
        <v>1321</v>
      </c>
    </row>
    <row r="289" spans="2:9">
      <c r="B289" s="346" t="s">
        <v>927</v>
      </c>
      <c r="C289" s="561"/>
      <c r="D289" s="562"/>
      <c r="E289" s="562"/>
      <c r="F289" s="563"/>
    </row>
    <row r="291" spans="2:9">
      <c r="H291" s="201" t="s">
        <v>909</v>
      </c>
      <c r="I291" s="203" t="str">
        <f>IF(COUNTA(C289)&lt;1,"À faire",IFERROR(IF(ABS(C289-39.9)&lt;0.0001,"✓ Correct","À revoir"),"À revoir"))</f>
        <v>À faire</v>
      </c>
    </row>
    <row r="294" spans="2:9" ht="24" customHeight="1">
      <c r="B294" s="560" t="s">
        <v>1383</v>
      </c>
      <c r="C294" s="560"/>
      <c r="D294" s="560"/>
      <c r="E294" s="560"/>
      <c r="F294" s="560"/>
      <c r="G294" s="560"/>
      <c r="H294" s="172" t="s">
        <v>930</v>
      </c>
      <c r="I294" s="141" t="s">
        <v>902</v>
      </c>
    </row>
    <row r="295" spans="2:9" ht="24" customHeight="1">
      <c r="B295" s="559" t="s">
        <v>1384</v>
      </c>
      <c r="C295" s="559"/>
      <c r="D295" s="559"/>
      <c r="E295" s="559"/>
      <c r="F295" s="559"/>
      <c r="G295" s="559"/>
      <c r="H295" s="559"/>
      <c r="I295" s="559"/>
    </row>
    <row r="296" spans="2:9" ht="24" customHeight="1">
      <c r="B296" s="559"/>
      <c r="C296" s="559"/>
      <c r="D296" s="559"/>
      <c r="E296" s="559"/>
      <c r="F296" s="559"/>
      <c r="G296" s="559"/>
      <c r="H296" s="559"/>
      <c r="I296" s="559"/>
    </row>
    <row r="298" spans="2:9">
      <c r="B298" s="175" t="s">
        <v>1309</v>
      </c>
      <c r="C298" s="175" t="s">
        <v>1310</v>
      </c>
      <c r="D298" s="175" t="s">
        <v>1311</v>
      </c>
      <c r="E298" s="175" t="s">
        <v>933</v>
      </c>
      <c r="F298" s="175" t="s">
        <v>1312</v>
      </c>
    </row>
    <row r="299" spans="2:9">
      <c r="B299" s="163" t="s">
        <v>1313</v>
      </c>
      <c r="C299" s="325" t="s">
        <v>1314</v>
      </c>
      <c r="D299" s="325" t="s">
        <v>1315</v>
      </c>
      <c r="E299" s="325">
        <v>24.9</v>
      </c>
      <c r="F299" s="332">
        <v>12</v>
      </c>
      <c r="G299" s="304"/>
    </row>
    <row r="300" spans="2:9">
      <c r="B300" s="163" t="s">
        <v>1316</v>
      </c>
      <c r="C300" s="325" t="s">
        <v>1317</v>
      </c>
      <c r="D300" s="325" t="s">
        <v>1315</v>
      </c>
      <c r="E300" s="325">
        <v>19.899999999999999</v>
      </c>
      <c r="F300" s="332">
        <v>8</v>
      </c>
      <c r="G300" s="304"/>
    </row>
    <row r="301" spans="2:9">
      <c r="B301" s="163" t="s">
        <v>1318</v>
      </c>
      <c r="C301" s="325" t="s">
        <v>1319</v>
      </c>
      <c r="D301" s="325" t="s">
        <v>1320</v>
      </c>
      <c r="E301" s="325">
        <v>34.5</v>
      </c>
      <c r="F301" s="332">
        <v>15</v>
      </c>
      <c r="G301" s="304"/>
    </row>
    <row r="302" spans="2:9">
      <c r="B302" s="163" t="s">
        <v>1321</v>
      </c>
      <c r="C302" s="325" t="s">
        <v>1322</v>
      </c>
      <c r="D302" s="325" t="s">
        <v>1323</v>
      </c>
      <c r="E302" s="325">
        <v>39.9</v>
      </c>
      <c r="F302" s="332">
        <v>7</v>
      </c>
      <c r="G302" s="304"/>
    </row>
    <row r="303" spans="2:9">
      <c r="B303" s="163" t="s">
        <v>1324</v>
      </c>
      <c r="C303" s="325" t="s">
        <v>1325</v>
      </c>
      <c r="D303" s="325" t="s">
        <v>1326</v>
      </c>
      <c r="E303" s="325">
        <v>29.9</v>
      </c>
      <c r="F303" s="332">
        <v>20</v>
      </c>
      <c r="G303" s="304"/>
    </row>
    <row r="304" spans="2:9">
      <c r="B304" s="163" t="s">
        <v>1327</v>
      </c>
      <c r="C304" s="325" t="s">
        <v>1328</v>
      </c>
      <c r="D304" s="325" t="s">
        <v>1329</v>
      </c>
      <c r="E304" s="325">
        <v>44.9</v>
      </c>
      <c r="F304" s="332">
        <v>9</v>
      </c>
      <c r="G304" s="304"/>
    </row>
    <row r="306" spans="2:9">
      <c r="G306" s="174" t="s">
        <v>1336</v>
      </c>
      <c r="H306" s="176" t="s">
        <v>1319</v>
      </c>
    </row>
    <row r="308" spans="2:9">
      <c r="B308" s="346" t="s">
        <v>927</v>
      </c>
      <c r="C308" s="556"/>
      <c r="D308" s="557"/>
      <c r="E308" s="557"/>
      <c r="F308" s="558"/>
    </row>
    <row r="310" spans="2:9">
      <c r="H310" s="201" t="s">
        <v>909</v>
      </c>
      <c r="I310" s="203" t="str">
        <f>IF(COUNTA(C308)&lt;1,"À faire",IFERROR(IF(C308="P-103","✓ Correct","À revoir"),"À revoir"))</f>
        <v>À faire</v>
      </c>
    </row>
    <row r="311" spans="2:9" ht="21.95" customHeight="1">
      <c r="B311" s="548" t="s">
        <v>429</v>
      </c>
      <c r="C311" s="548"/>
      <c r="D311" s="548"/>
      <c r="E311" s="548"/>
      <c r="F311" s="548"/>
      <c r="G311" s="548"/>
      <c r="H311" s="548"/>
      <c r="I311" s="548"/>
    </row>
    <row r="312" spans="2:9">
      <c r="B312" s="181"/>
      <c r="C312" s="181"/>
      <c r="D312" s="181"/>
      <c r="E312" s="181"/>
      <c r="F312" s="181"/>
      <c r="G312" s="181"/>
      <c r="H312" s="181"/>
      <c r="I312" s="181"/>
    </row>
    <row r="313" spans="2:9" ht="24" customHeight="1">
      <c r="B313" s="537" t="s">
        <v>1385</v>
      </c>
      <c r="C313" s="537"/>
      <c r="D313" s="537"/>
      <c r="E313" s="537"/>
      <c r="F313" s="537"/>
      <c r="G313" s="537"/>
      <c r="H313" s="182" t="s">
        <v>901</v>
      </c>
      <c r="I313" s="188" t="s">
        <v>1386</v>
      </c>
    </row>
    <row r="314" spans="2:9" ht="21" customHeight="1">
      <c r="B314" s="538" t="s">
        <v>1387</v>
      </c>
      <c r="C314" s="538"/>
      <c r="D314" s="538"/>
      <c r="E314" s="538"/>
      <c r="F314" s="538"/>
      <c r="G314" s="538"/>
      <c r="H314" s="538"/>
      <c r="I314" s="538"/>
    </row>
    <row r="315" spans="2:9" ht="21" customHeight="1">
      <c r="B315" s="538"/>
      <c r="C315" s="538"/>
      <c r="D315" s="538"/>
      <c r="E315" s="538"/>
      <c r="F315" s="538"/>
      <c r="G315" s="538"/>
      <c r="H315" s="538"/>
      <c r="I315" s="538"/>
    </row>
    <row r="316" spans="2:9">
      <c r="B316" s="181"/>
      <c r="C316" s="181"/>
      <c r="D316" s="181"/>
      <c r="E316" s="181"/>
      <c r="F316" s="181"/>
      <c r="G316" s="181"/>
      <c r="H316" s="181"/>
      <c r="I316" s="181"/>
    </row>
    <row r="317" spans="2:9" ht="15">
      <c r="B317" s="183" t="s">
        <v>1309</v>
      </c>
      <c r="C317" s="184" t="s">
        <v>1310</v>
      </c>
      <c r="D317" s="184" t="s">
        <v>1311</v>
      </c>
      <c r="E317" s="184" t="s">
        <v>933</v>
      </c>
      <c r="F317" s="185" t="s">
        <v>1312</v>
      </c>
      <c r="G317" s="181"/>
      <c r="H317" s="181"/>
      <c r="I317" s="181"/>
    </row>
    <row r="318" spans="2:9">
      <c r="B318" s="336" t="s">
        <v>1313</v>
      </c>
      <c r="C318" s="337" t="s">
        <v>1314</v>
      </c>
      <c r="D318" s="337" t="s">
        <v>1315</v>
      </c>
      <c r="E318" s="338">
        <v>24.9</v>
      </c>
      <c r="F318" s="339">
        <v>12</v>
      </c>
      <c r="G318" s="331"/>
      <c r="H318" s="181"/>
      <c r="I318" s="181"/>
    </row>
    <row r="319" spans="2:9">
      <c r="B319" s="336" t="s">
        <v>1316</v>
      </c>
      <c r="C319" s="337" t="s">
        <v>1317</v>
      </c>
      <c r="D319" s="337" t="s">
        <v>1315</v>
      </c>
      <c r="E319" s="338">
        <v>19.899999999999999</v>
      </c>
      <c r="F319" s="339">
        <v>8</v>
      </c>
      <c r="G319" s="331"/>
      <c r="H319" s="181"/>
      <c r="I319" s="181"/>
    </row>
    <row r="320" spans="2:9">
      <c r="B320" s="336" t="s">
        <v>1318</v>
      </c>
      <c r="C320" s="337" t="s">
        <v>1319</v>
      </c>
      <c r="D320" s="337" t="s">
        <v>1320</v>
      </c>
      <c r="E320" s="338">
        <v>34.5</v>
      </c>
      <c r="F320" s="339">
        <v>15</v>
      </c>
      <c r="G320" s="331"/>
      <c r="H320" s="181"/>
      <c r="I320" s="181"/>
    </row>
    <row r="321" spans="2:9">
      <c r="B321" s="336" t="s">
        <v>1321</v>
      </c>
      <c r="C321" s="337" t="s">
        <v>1322</v>
      </c>
      <c r="D321" s="337" t="s">
        <v>1323</v>
      </c>
      <c r="E321" s="338">
        <v>39.9</v>
      </c>
      <c r="F321" s="339">
        <v>7</v>
      </c>
      <c r="G321" s="331"/>
      <c r="H321" s="181"/>
      <c r="I321" s="181"/>
    </row>
    <row r="322" spans="2:9">
      <c r="B322" s="336" t="s">
        <v>1324</v>
      </c>
      <c r="C322" s="337" t="s">
        <v>1325</v>
      </c>
      <c r="D322" s="337" t="s">
        <v>1326</v>
      </c>
      <c r="E322" s="338">
        <v>29.9</v>
      </c>
      <c r="F322" s="339">
        <v>20</v>
      </c>
      <c r="G322" s="331"/>
      <c r="H322" s="181"/>
      <c r="I322" s="181"/>
    </row>
    <row r="323" spans="2:9">
      <c r="B323" s="336" t="s">
        <v>1327</v>
      </c>
      <c r="C323" s="337" t="s">
        <v>1328</v>
      </c>
      <c r="D323" s="337" t="s">
        <v>1329</v>
      </c>
      <c r="E323" s="338">
        <v>44.9</v>
      </c>
      <c r="F323" s="339">
        <v>9</v>
      </c>
      <c r="G323" s="331"/>
      <c r="H323" s="181"/>
      <c r="I323" s="181"/>
    </row>
    <row r="324" spans="2:9">
      <c r="B324" s="181"/>
      <c r="C324" s="181"/>
      <c r="D324" s="181"/>
      <c r="E324" s="181"/>
      <c r="F324" s="181"/>
      <c r="G324" s="181"/>
      <c r="H324" s="181"/>
      <c r="I324" s="181"/>
    </row>
    <row r="325" spans="2:9" ht="15">
      <c r="B325" s="181"/>
      <c r="C325" s="181"/>
      <c r="D325" s="181"/>
      <c r="E325" s="181"/>
      <c r="F325" s="181"/>
      <c r="G325" s="181"/>
      <c r="H325" s="171" t="s">
        <v>1330</v>
      </c>
      <c r="I325" s="186" t="s">
        <v>1327</v>
      </c>
    </row>
    <row r="326" spans="2:9">
      <c r="B326" s="181"/>
      <c r="C326" s="181"/>
      <c r="D326" s="181"/>
      <c r="E326" s="181"/>
      <c r="F326" s="181"/>
      <c r="G326" s="181"/>
      <c r="H326" s="181"/>
      <c r="I326" s="181"/>
    </row>
    <row r="327" spans="2:9" ht="15">
      <c r="B327" s="345" t="s">
        <v>927</v>
      </c>
      <c r="C327" s="549"/>
      <c r="D327" s="552"/>
      <c r="E327" s="552"/>
      <c r="F327" s="553"/>
      <c r="G327" s="181"/>
      <c r="H327" s="181"/>
      <c r="I327" s="181"/>
    </row>
    <row r="328" spans="2:9">
      <c r="B328" s="181"/>
      <c r="C328" s="181"/>
      <c r="D328" s="181"/>
      <c r="E328" s="181"/>
      <c r="F328" s="181"/>
      <c r="G328" s="181"/>
      <c r="H328" s="181"/>
      <c r="I328" s="181"/>
    </row>
    <row r="329" spans="2:9" ht="15">
      <c r="B329" s="181"/>
      <c r="C329" s="181"/>
      <c r="D329" s="181"/>
      <c r="E329" s="181"/>
      <c r="F329" s="181"/>
      <c r="G329" s="181"/>
      <c r="H329" s="195" t="s">
        <v>909</v>
      </c>
      <c r="I329" s="196" t="str">
        <f>IF(COUNTA(C327)&lt;1,"À faire",IFERROR(IF(ABS(C327-44.9)&lt;0.0001,"✓ Correct","À revoir"),"À revoir"))</f>
        <v>À faire</v>
      </c>
    </row>
    <row r="330" spans="2:9">
      <c r="B330" s="181"/>
      <c r="C330" s="181"/>
      <c r="D330" s="181"/>
      <c r="E330" s="181"/>
      <c r="F330" s="181"/>
      <c r="G330" s="181"/>
      <c r="H330" s="181"/>
      <c r="I330" s="181"/>
    </row>
    <row r="331" spans="2:9">
      <c r="B331" s="181"/>
      <c r="C331" s="181"/>
      <c r="D331" s="181"/>
      <c r="E331" s="181"/>
      <c r="F331" s="181"/>
      <c r="G331" s="181"/>
      <c r="H331" s="181"/>
      <c r="I331" s="181"/>
    </row>
    <row r="332" spans="2:9" ht="24" customHeight="1">
      <c r="B332" s="537" t="s">
        <v>1388</v>
      </c>
      <c r="C332" s="537"/>
      <c r="D332" s="537"/>
      <c r="E332" s="537"/>
      <c r="F332" s="537"/>
      <c r="G332" s="537"/>
      <c r="H332" s="182" t="s">
        <v>901</v>
      </c>
      <c r="I332" s="188" t="s">
        <v>1386</v>
      </c>
    </row>
    <row r="333" spans="2:9" ht="21" customHeight="1">
      <c r="B333" s="538" t="s">
        <v>1389</v>
      </c>
      <c r="C333" s="538"/>
      <c r="D333" s="538"/>
      <c r="E333" s="538"/>
      <c r="F333" s="538"/>
      <c r="G333" s="538"/>
      <c r="H333" s="538"/>
      <c r="I333" s="538"/>
    </row>
    <row r="334" spans="2:9" ht="21" customHeight="1">
      <c r="B334" s="538"/>
      <c r="C334" s="538"/>
      <c r="D334" s="538"/>
      <c r="E334" s="538"/>
      <c r="F334" s="538"/>
      <c r="G334" s="538"/>
      <c r="H334" s="538"/>
      <c r="I334" s="538"/>
    </row>
    <row r="335" spans="2:9">
      <c r="B335" s="181"/>
      <c r="C335" s="181"/>
      <c r="D335" s="181"/>
      <c r="E335" s="181"/>
      <c r="F335" s="181"/>
      <c r="G335" s="181"/>
      <c r="H335" s="181"/>
      <c r="I335" s="181"/>
    </row>
    <row r="336" spans="2:9" ht="15">
      <c r="B336" s="183" t="s">
        <v>1309</v>
      </c>
      <c r="C336" s="184" t="s">
        <v>1310</v>
      </c>
      <c r="D336" s="184" t="s">
        <v>1311</v>
      </c>
      <c r="E336" s="184" t="s">
        <v>933</v>
      </c>
      <c r="F336" s="185" t="s">
        <v>1312</v>
      </c>
      <c r="G336" s="181"/>
      <c r="H336" s="181"/>
      <c r="I336" s="181"/>
    </row>
    <row r="337" spans="2:9">
      <c r="B337" s="336" t="s">
        <v>1313</v>
      </c>
      <c r="C337" s="337" t="s">
        <v>1314</v>
      </c>
      <c r="D337" s="337" t="s">
        <v>1315</v>
      </c>
      <c r="E337" s="338">
        <v>24.9</v>
      </c>
      <c r="F337" s="339">
        <v>12</v>
      </c>
      <c r="G337" s="331"/>
      <c r="H337" s="181"/>
      <c r="I337" s="181"/>
    </row>
    <row r="338" spans="2:9">
      <c r="B338" s="336" t="s">
        <v>1316</v>
      </c>
      <c r="C338" s="337" t="s">
        <v>1317</v>
      </c>
      <c r="D338" s="337" t="s">
        <v>1315</v>
      </c>
      <c r="E338" s="338">
        <v>19.899999999999999</v>
      </c>
      <c r="F338" s="339">
        <v>8</v>
      </c>
      <c r="G338" s="331"/>
      <c r="H338" s="181"/>
      <c r="I338" s="181"/>
    </row>
    <row r="339" spans="2:9">
      <c r="B339" s="336" t="s">
        <v>1318</v>
      </c>
      <c r="C339" s="337" t="s">
        <v>1319</v>
      </c>
      <c r="D339" s="337" t="s">
        <v>1320</v>
      </c>
      <c r="E339" s="338">
        <v>34.5</v>
      </c>
      <c r="F339" s="339">
        <v>15</v>
      </c>
      <c r="G339" s="331"/>
      <c r="H339" s="181"/>
      <c r="I339" s="181"/>
    </row>
    <row r="340" spans="2:9">
      <c r="B340" s="336" t="s">
        <v>1321</v>
      </c>
      <c r="C340" s="337" t="s">
        <v>1322</v>
      </c>
      <c r="D340" s="337" t="s">
        <v>1323</v>
      </c>
      <c r="E340" s="338">
        <v>39.9</v>
      </c>
      <c r="F340" s="339">
        <v>7</v>
      </c>
      <c r="G340" s="331"/>
      <c r="H340" s="181"/>
      <c r="I340" s="181"/>
    </row>
    <row r="341" spans="2:9">
      <c r="B341" s="336" t="s">
        <v>1324</v>
      </c>
      <c r="C341" s="337" t="s">
        <v>1325</v>
      </c>
      <c r="D341" s="337" t="s">
        <v>1326</v>
      </c>
      <c r="E341" s="338">
        <v>29.9</v>
      </c>
      <c r="F341" s="339">
        <v>20</v>
      </c>
      <c r="G341" s="331"/>
      <c r="H341" s="181"/>
      <c r="I341" s="181"/>
    </row>
    <row r="342" spans="2:9">
      <c r="B342" s="336" t="s">
        <v>1327</v>
      </c>
      <c r="C342" s="337" t="s">
        <v>1328</v>
      </c>
      <c r="D342" s="337" t="s">
        <v>1329</v>
      </c>
      <c r="E342" s="338">
        <v>44.9</v>
      </c>
      <c r="F342" s="339">
        <v>9</v>
      </c>
      <c r="G342" s="331"/>
      <c r="H342" s="181"/>
      <c r="I342" s="181"/>
    </row>
    <row r="343" spans="2:9">
      <c r="B343" s="181"/>
      <c r="C343" s="181"/>
      <c r="D343" s="181"/>
      <c r="E343" s="181"/>
      <c r="F343" s="181"/>
      <c r="G343" s="181"/>
      <c r="H343" s="181"/>
      <c r="I343" s="181"/>
    </row>
    <row r="344" spans="2:9" ht="15">
      <c r="B344" s="181"/>
      <c r="C344" s="181"/>
      <c r="D344" s="181"/>
      <c r="E344" s="181"/>
      <c r="F344" s="181"/>
      <c r="G344" s="181"/>
      <c r="H344" s="171" t="s">
        <v>1330</v>
      </c>
      <c r="I344" s="186" t="s">
        <v>1390</v>
      </c>
    </row>
    <row r="345" spans="2:9">
      <c r="B345" s="181"/>
      <c r="C345" s="181"/>
      <c r="D345" s="181"/>
      <c r="E345" s="181"/>
      <c r="F345" s="181"/>
      <c r="G345" s="181"/>
      <c r="H345" s="181"/>
      <c r="I345" s="181"/>
    </row>
    <row r="346" spans="2:9" ht="15">
      <c r="B346" s="345" t="s">
        <v>927</v>
      </c>
      <c r="C346" s="554"/>
      <c r="D346" s="552"/>
      <c r="E346" s="552"/>
      <c r="F346" s="553"/>
      <c r="G346" s="181"/>
      <c r="H346" s="181"/>
      <c r="I346" s="181"/>
    </row>
    <row r="347" spans="2:9">
      <c r="B347" s="181"/>
      <c r="C347" s="181"/>
      <c r="D347" s="181"/>
      <c r="E347" s="181"/>
      <c r="F347" s="181"/>
      <c r="G347" s="181"/>
      <c r="H347" s="181"/>
      <c r="I347" s="181"/>
    </row>
    <row r="348" spans="2:9" ht="15">
      <c r="B348" s="181"/>
      <c r="C348" s="181"/>
      <c r="D348" s="181"/>
      <c r="E348" s="181"/>
      <c r="F348" s="181"/>
      <c r="G348" s="181"/>
      <c r="H348" s="195" t="s">
        <v>909</v>
      </c>
      <c r="I348" s="196" t="str">
        <f>IF(COUNTA(C346)&lt;1,"À faire",IFERROR(IF(C346="Code inconnu","✓ Correct","À revoir"),"À revoir"))</f>
        <v>À faire</v>
      </c>
    </row>
    <row r="349" spans="2:9">
      <c r="B349" s="181"/>
      <c r="C349" s="181"/>
      <c r="D349" s="181"/>
      <c r="E349" s="181"/>
      <c r="F349" s="181"/>
      <c r="G349" s="181"/>
      <c r="H349" s="181"/>
      <c r="I349" s="181"/>
    </row>
    <row r="350" spans="2:9">
      <c r="B350" s="181"/>
      <c r="C350" s="181"/>
      <c r="D350" s="181"/>
      <c r="E350" s="181"/>
      <c r="F350" s="181"/>
      <c r="G350" s="181"/>
      <c r="H350" s="181"/>
      <c r="I350" s="181"/>
    </row>
    <row r="351" spans="2:9" ht="24" customHeight="1">
      <c r="B351" s="537" t="s">
        <v>1391</v>
      </c>
      <c r="C351" s="537"/>
      <c r="D351" s="537"/>
      <c r="E351" s="537"/>
      <c r="F351" s="537"/>
      <c r="G351" s="537"/>
      <c r="H351" s="182" t="s">
        <v>930</v>
      </c>
      <c r="I351" s="188" t="s">
        <v>1386</v>
      </c>
    </row>
    <row r="352" spans="2:9" ht="21" customHeight="1">
      <c r="B352" s="538" t="s">
        <v>1392</v>
      </c>
      <c r="C352" s="538"/>
      <c r="D352" s="538"/>
      <c r="E352" s="538"/>
      <c r="F352" s="538"/>
      <c r="G352" s="538"/>
      <c r="H352" s="538"/>
      <c r="I352" s="538"/>
    </row>
    <row r="353" spans="2:9" ht="21" customHeight="1">
      <c r="B353" s="538"/>
      <c r="C353" s="538"/>
      <c r="D353" s="538"/>
      <c r="E353" s="538"/>
      <c r="F353" s="538"/>
      <c r="G353" s="538"/>
      <c r="H353" s="538"/>
      <c r="I353" s="538"/>
    </row>
    <row r="354" spans="2:9">
      <c r="B354" s="181"/>
      <c r="C354" s="181"/>
      <c r="D354" s="181"/>
      <c r="E354" s="181"/>
      <c r="F354" s="181"/>
      <c r="G354" s="181"/>
      <c r="H354" s="181"/>
      <c r="I354" s="181"/>
    </row>
    <row r="355" spans="2:9" ht="15">
      <c r="B355" s="183" t="s">
        <v>1346</v>
      </c>
      <c r="C355" s="185" t="s">
        <v>1347</v>
      </c>
      <c r="D355" s="181"/>
      <c r="E355" s="181"/>
      <c r="F355" s="181"/>
      <c r="G355" s="181"/>
      <c r="H355" s="181"/>
      <c r="I355" s="181"/>
    </row>
    <row r="356" spans="2:9">
      <c r="B356" s="336">
        <v>0</v>
      </c>
      <c r="C356" s="340">
        <v>0</v>
      </c>
      <c r="D356" s="331"/>
      <c r="E356" s="181"/>
      <c r="F356" s="181"/>
      <c r="G356" s="181"/>
      <c r="H356" s="181"/>
      <c r="I356" s="181"/>
    </row>
    <row r="357" spans="2:9">
      <c r="B357" s="336">
        <v>10</v>
      </c>
      <c r="C357" s="340">
        <v>0.05</v>
      </c>
      <c r="D357" s="331"/>
      <c r="E357" s="181"/>
      <c r="F357" s="181"/>
      <c r="G357" s="181"/>
      <c r="H357" s="181"/>
      <c r="I357" s="181"/>
    </row>
    <row r="358" spans="2:9">
      <c r="B358" s="336">
        <v>25</v>
      </c>
      <c r="C358" s="340">
        <v>0.1</v>
      </c>
      <c r="D358" s="331"/>
      <c r="E358" s="181"/>
      <c r="F358" s="181"/>
      <c r="G358" s="181"/>
      <c r="H358" s="181"/>
      <c r="I358" s="181"/>
    </row>
    <row r="359" spans="2:9">
      <c r="B359" s="336">
        <v>50</v>
      </c>
      <c r="C359" s="340">
        <v>0.15</v>
      </c>
      <c r="D359" s="331"/>
      <c r="E359" s="181"/>
      <c r="F359" s="181"/>
      <c r="G359" s="181"/>
      <c r="H359" s="181"/>
      <c r="I359" s="181"/>
    </row>
    <row r="360" spans="2:9">
      <c r="B360" s="336">
        <v>100</v>
      </c>
      <c r="C360" s="340">
        <v>0.2</v>
      </c>
      <c r="D360" s="331"/>
      <c r="E360" s="181"/>
      <c r="F360" s="181"/>
      <c r="G360" s="181"/>
      <c r="H360" s="181"/>
      <c r="I360" s="181"/>
    </row>
    <row r="361" spans="2:9">
      <c r="B361" s="181"/>
      <c r="C361" s="181"/>
      <c r="D361" s="181"/>
      <c r="E361" s="181"/>
      <c r="F361" s="181"/>
      <c r="G361" s="181"/>
      <c r="H361" s="181"/>
      <c r="I361" s="181"/>
    </row>
    <row r="362" spans="2:9" ht="30">
      <c r="B362" s="181"/>
      <c r="C362" s="181"/>
      <c r="D362" s="181"/>
      <c r="E362" s="181"/>
      <c r="F362" s="181"/>
      <c r="G362" s="181"/>
      <c r="H362" s="171" t="s">
        <v>1348</v>
      </c>
      <c r="I362" s="186">
        <v>37</v>
      </c>
    </row>
    <row r="363" spans="2:9">
      <c r="B363" s="181"/>
      <c r="C363" s="181"/>
      <c r="D363" s="181"/>
      <c r="E363" s="181"/>
      <c r="F363" s="181"/>
      <c r="G363" s="181"/>
      <c r="H363" s="181"/>
      <c r="I363" s="181"/>
    </row>
    <row r="364" spans="2:9" ht="15">
      <c r="B364" s="345" t="s">
        <v>927</v>
      </c>
      <c r="C364" s="555"/>
      <c r="D364" s="552"/>
      <c r="E364" s="552"/>
      <c r="F364" s="553"/>
      <c r="G364" s="181"/>
      <c r="H364" s="181"/>
      <c r="I364" s="181"/>
    </row>
    <row r="365" spans="2:9">
      <c r="B365" s="181"/>
      <c r="C365" s="181"/>
      <c r="D365" s="181"/>
      <c r="E365" s="181"/>
      <c r="F365" s="181"/>
      <c r="G365" s="181"/>
      <c r="H365" s="181"/>
      <c r="I365" s="181"/>
    </row>
    <row r="366" spans="2:9" ht="15">
      <c r="B366" s="181"/>
      <c r="C366" s="181"/>
      <c r="D366" s="181"/>
      <c r="E366" s="181"/>
      <c r="F366" s="181"/>
      <c r="G366" s="181"/>
      <c r="H366" s="195" t="s">
        <v>909</v>
      </c>
      <c r="I366" s="196" t="str">
        <f>IF(COUNTA(C364)&lt;1,"À faire",IFERROR(IF(ABS(C364-0.1)&lt;0.0001,"✓ Correct","À revoir"),"À revoir"))</f>
        <v>À faire</v>
      </c>
    </row>
    <row r="367" spans="2:9">
      <c r="B367" s="181"/>
      <c r="C367" s="181"/>
      <c r="D367" s="181"/>
      <c r="E367" s="181"/>
      <c r="F367" s="181"/>
      <c r="G367" s="181"/>
      <c r="H367" s="181"/>
      <c r="I367" s="181"/>
    </row>
    <row r="368" spans="2:9">
      <c r="B368" s="181"/>
      <c r="C368" s="181"/>
      <c r="D368" s="181"/>
      <c r="E368" s="181"/>
      <c r="F368" s="181"/>
      <c r="G368" s="181"/>
      <c r="H368" s="181"/>
      <c r="I368" s="181"/>
    </row>
    <row r="369" spans="2:9" ht="24" customHeight="1">
      <c r="B369" s="537" t="s">
        <v>1393</v>
      </c>
      <c r="C369" s="537"/>
      <c r="D369" s="537"/>
      <c r="E369" s="537"/>
      <c r="F369" s="537"/>
      <c r="G369" s="537"/>
      <c r="H369" s="182" t="s">
        <v>930</v>
      </c>
      <c r="I369" s="188" t="s">
        <v>1386</v>
      </c>
    </row>
    <row r="370" spans="2:9" ht="21" customHeight="1">
      <c r="B370" s="538" t="s">
        <v>1394</v>
      </c>
      <c r="C370" s="538"/>
      <c r="D370" s="538"/>
      <c r="E370" s="538"/>
      <c r="F370" s="538"/>
      <c r="G370" s="538"/>
      <c r="H370" s="538"/>
      <c r="I370" s="538"/>
    </row>
    <row r="371" spans="2:9" ht="21" customHeight="1">
      <c r="B371" s="538"/>
      <c r="C371" s="538"/>
      <c r="D371" s="538"/>
      <c r="E371" s="538"/>
      <c r="F371" s="538"/>
      <c r="G371" s="538"/>
      <c r="H371" s="538"/>
      <c r="I371" s="538"/>
    </row>
    <row r="372" spans="2:9">
      <c r="B372" s="181"/>
      <c r="C372" s="181"/>
      <c r="D372" s="181"/>
      <c r="E372" s="181"/>
      <c r="F372" s="181"/>
      <c r="G372" s="181"/>
      <c r="H372" s="181"/>
      <c r="I372" s="181"/>
    </row>
    <row r="373" spans="2:9" ht="15">
      <c r="B373" s="183" t="s">
        <v>1395</v>
      </c>
      <c r="C373" s="185" t="s">
        <v>1396</v>
      </c>
      <c r="D373" s="181"/>
      <c r="E373" s="181"/>
      <c r="F373" s="181"/>
      <c r="G373" s="181"/>
      <c r="H373" s="181"/>
      <c r="I373" s="181"/>
    </row>
    <row r="374" spans="2:9">
      <c r="B374" s="336">
        <v>0.5</v>
      </c>
      <c r="C374" s="341">
        <v>4.9000000000000004</v>
      </c>
      <c r="D374" s="331"/>
      <c r="E374" s="181"/>
      <c r="F374" s="181"/>
      <c r="G374" s="181"/>
      <c r="H374" s="181"/>
      <c r="I374" s="181"/>
    </row>
    <row r="375" spans="2:9">
      <c r="B375" s="336">
        <v>1</v>
      </c>
      <c r="C375" s="341">
        <v>6.9</v>
      </c>
      <c r="D375" s="331"/>
      <c r="E375" s="181"/>
      <c r="F375" s="181"/>
      <c r="G375" s="181"/>
      <c r="H375" s="181"/>
      <c r="I375" s="181"/>
    </row>
    <row r="376" spans="2:9">
      <c r="B376" s="336">
        <v>2</v>
      </c>
      <c r="C376" s="341">
        <v>8.9</v>
      </c>
      <c r="D376" s="331"/>
      <c r="E376" s="181"/>
      <c r="F376" s="181"/>
      <c r="G376" s="181"/>
      <c r="H376" s="181"/>
      <c r="I376" s="181"/>
    </row>
    <row r="377" spans="2:9">
      <c r="B377" s="336">
        <v>5</v>
      </c>
      <c r="C377" s="341">
        <v>12.9</v>
      </c>
      <c r="D377" s="331"/>
      <c r="E377" s="181"/>
      <c r="F377" s="181"/>
      <c r="G377" s="181"/>
      <c r="H377" s="181"/>
      <c r="I377" s="181"/>
    </row>
    <row r="378" spans="2:9">
      <c r="B378" s="336">
        <v>10</v>
      </c>
      <c r="C378" s="341">
        <v>19.899999999999999</v>
      </c>
      <c r="D378" s="331"/>
      <c r="E378" s="181"/>
      <c r="F378" s="181"/>
      <c r="G378" s="181"/>
      <c r="H378" s="181"/>
      <c r="I378" s="181"/>
    </row>
    <row r="379" spans="2:9">
      <c r="B379" s="181"/>
      <c r="C379" s="181"/>
      <c r="D379" s="181"/>
      <c r="E379" s="181"/>
      <c r="F379" s="181"/>
      <c r="G379" s="181"/>
      <c r="H379" s="181"/>
      <c r="I379" s="181"/>
    </row>
    <row r="380" spans="2:9" ht="15">
      <c r="B380" s="181"/>
      <c r="C380" s="181"/>
      <c r="D380" s="181"/>
      <c r="E380" s="181"/>
      <c r="F380" s="181"/>
      <c r="G380" s="181"/>
      <c r="H380" s="171" t="s">
        <v>1397</v>
      </c>
      <c r="I380" s="186">
        <v>2.2999999999999998</v>
      </c>
    </row>
    <row r="381" spans="2:9">
      <c r="B381" s="181"/>
      <c r="C381" s="181"/>
      <c r="D381" s="181"/>
      <c r="E381" s="181"/>
      <c r="F381" s="181"/>
      <c r="G381" s="181"/>
      <c r="H381" s="181"/>
      <c r="I381" s="181"/>
    </row>
    <row r="382" spans="2:9" ht="15">
      <c r="B382" s="345" t="s">
        <v>927</v>
      </c>
      <c r="C382" s="549"/>
      <c r="D382" s="552"/>
      <c r="E382" s="552"/>
      <c r="F382" s="553"/>
      <c r="G382" s="181"/>
      <c r="H382" s="181"/>
      <c r="I382" s="181"/>
    </row>
    <row r="383" spans="2:9">
      <c r="B383" s="181"/>
      <c r="C383" s="181"/>
      <c r="D383" s="181"/>
      <c r="E383" s="181"/>
      <c r="F383" s="181"/>
      <c r="G383" s="181"/>
      <c r="H383" s="181"/>
      <c r="I383" s="181"/>
    </row>
    <row r="384" spans="2:9" ht="15">
      <c r="B384" s="181"/>
      <c r="C384" s="181"/>
      <c r="D384" s="181"/>
      <c r="E384" s="181"/>
      <c r="F384" s="181"/>
      <c r="G384" s="181"/>
      <c r="H384" s="195" t="s">
        <v>909</v>
      </c>
      <c r="I384" s="196" t="str">
        <f>IF(COUNTA(C382)&lt;1,"À faire",IFERROR(IF(ABS(C382-12.9)&lt;0.0001,"✓ Correct","À revoir"),"À revoir"))</f>
        <v>À faire</v>
      </c>
    </row>
    <row r="385" spans="2:9">
      <c r="B385" s="181"/>
      <c r="C385" s="181"/>
      <c r="D385" s="181"/>
      <c r="E385" s="181"/>
      <c r="F385" s="181"/>
      <c r="G385" s="181"/>
      <c r="H385" s="181"/>
      <c r="I385" s="181"/>
    </row>
    <row r="386" spans="2:9">
      <c r="B386" s="181"/>
      <c r="C386" s="181"/>
      <c r="D386" s="181"/>
      <c r="E386" s="181"/>
      <c r="F386" s="181"/>
      <c r="G386" s="181"/>
      <c r="H386" s="181"/>
      <c r="I386" s="181"/>
    </row>
    <row r="387" spans="2:9" ht="24" customHeight="1">
      <c r="B387" s="537" t="s">
        <v>1398</v>
      </c>
      <c r="C387" s="537"/>
      <c r="D387" s="537"/>
      <c r="E387" s="537"/>
      <c r="F387" s="537"/>
      <c r="G387" s="537"/>
      <c r="H387" s="182" t="s">
        <v>930</v>
      </c>
      <c r="I387" s="188" t="s">
        <v>1386</v>
      </c>
    </row>
    <row r="388" spans="2:9" ht="21" customHeight="1">
      <c r="B388" s="538" t="s">
        <v>1399</v>
      </c>
      <c r="C388" s="538"/>
      <c r="D388" s="538"/>
      <c r="E388" s="538"/>
      <c r="F388" s="538"/>
      <c r="G388" s="538"/>
      <c r="H388" s="538"/>
      <c r="I388" s="538"/>
    </row>
    <row r="389" spans="2:9" ht="21" customHeight="1">
      <c r="B389" s="538"/>
      <c r="C389" s="538"/>
      <c r="D389" s="538"/>
      <c r="E389" s="538"/>
      <c r="F389" s="538"/>
      <c r="G389" s="538"/>
      <c r="H389" s="538"/>
      <c r="I389" s="538"/>
    </row>
    <row r="390" spans="2:9">
      <c r="B390" s="181"/>
      <c r="C390" s="181"/>
      <c r="D390" s="181"/>
      <c r="E390" s="181"/>
      <c r="F390" s="181"/>
      <c r="G390" s="181"/>
      <c r="H390" s="181"/>
      <c r="I390" s="181"/>
    </row>
    <row r="391" spans="2:9" ht="15">
      <c r="B391" s="183" t="s">
        <v>1309</v>
      </c>
      <c r="C391" s="185" t="s">
        <v>1310</v>
      </c>
      <c r="D391" s="181"/>
      <c r="E391" s="181"/>
      <c r="F391" s="181"/>
      <c r="G391" s="181"/>
      <c r="H391" s="181"/>
      <c r="I391" s="181"/>
    </row>
    <row r="392" spans="2:9">
      <c r="B392" s="336" t="s">
        <v>1400</v>
      </c>
      <c r="C392" s="339" t="s">
        <v>1401</v>
      </c>
      <c r="D392" s="331"/>
      <c r="E392" s="181"/>
      <c r="F392" s="181"/>
      <c r="G392" s="181"/>
      <c r="H392" s="181"/>
      <c r="I392" s="181"/>
    </row>
    <row r="393" spans="2:9">
      <c r="B393" s="336" t="s">
        <v>1402</v>
      </c>
      <c r="C393" s="339" t="s">
        <v>1403</v>
      </c>
      <c r="D393" s="331"/>
      <c r="E393" s="181"/>
      <c r="F393" s="181"/>
      <c r="G393" s="181"/>
      <c r="H393" s="181"/>
      <c r="I393" s="181"/>
    </row>
    <row r="394" spans="2:9">
      <c r="B394" s="336" t="s">
        <v>1404</v>
      </c>
      <c r="C394" s="339" t="s">
        <v>1405</v>
      </c>
      <c r="D394" s="331"/>
      <c r="E394" s="181"/>
      <c r="F394" s="181"/>
      <c r="G394" s="181"/>
      <c r="H394" s="181"/>
      <c r="I394" s="181"/>
    </row>
    <row r="395" spans="2:9">
      <c r="B395" s="336" t="s">
        <v>1406</v>
      </c>
      <c r="C395" s="339" t="s">
        <v>1407</v>
      </c>
      <c r="D395" s="331"/>
      <c r="E395" s="181"/>
      <c r="F395" s="181"/>
      <c r="G395" s="181"/>
      <c r="H395" s="181"/>
      <c r="I395" s="181"/>
    </row>
    <row r="396" spans="2:9">
      <c r="B396" s="336" t="s">
        <v>1408</v>
      </c>
      <c r="C396" s="339" t="s">
        <v>1409</v>
      </c>
      <c r="D396" s="331"/>
      <c r="E396" s="181"/>
      <c r="F396" s="181"/>
      <c r="G396" s="181"/>
      <c r="H396" s="181"/>
      <c r="I396" s="181"/>
    </row>
    <row r="397" spans="2:9">
      <c r="B397" s="181"/>
      <c r="C397" s="181"/>
      <c r="D397" s="181"/>
      <c r="E397" s="181"/>
      <c r="F397" s="181"/>
      <c r="G397" s="181"/>
      <c r="H397" s="181"/>
      <c r="I397" s="181"/>
    </row>
    <row r="398" spans="2:9" ht="15">
      <c r="B398" s="181"/>
      <c r="C398" s="181"/>
      <c r="D398" s="181"/>
      <c r="E398" s="181"/>
      <c r="F398" s="181"/>
      <c r="G398" s="181"/>
      <c r="H398" s="171" t="s">
        <v>1410</v>
      </c>
      <c r="I398" s="186" t="s">
        <v>1411</v>
      </c>
    </row>
    <row r="399" spans="2:9">
      <c r="B399" s="181"/>
      <c r="C399" s="181"/>
      <c r="D399" s="181"/>
      <c r="E399" s="181"/>
      <c r="F399" s="181"/>
      <c r="G399" s="181"/>
      <c r="H399" s="181"/>
      <c r="I399" s="181"/>
    </row>
    <row r="400" spans="2:9" ht="15">
      <c r="B400" s="345" t="s">
        <v>927</v>
      </c>
      <c r="C400" s="554"/>
      <c r="D400" s="552"/>
      <c r="E400" s="552"/>
      <c r="F400" s="553"/>
      <c r="G400" s="181"/>
      <c r="H400" s="181"/>
      <c r="I400" s="181"/>
    </row>
    <row r="401" spans="2:9">
      <c r="B401" s="181"/>
      <c r="C401" s="181"/>
      <c r="D401" s="181"/>
      <c r="E401" s="181"/>
      <c r="F401" s="181"/>
      <c r="G401" s="181"/>
      <c r="H401" s="181"/>
      <c r="I401" s="181"/>
    </row>
    <row r="402" spans="2:9" ht="15">
      <c r="B402" s="181"/>
      <c r="C402" s="181"/>
      <c r="D402" s="181"/>
      <c r="E402" s="181"/>
      <c r="F402" s="181"/>
      <c r="G402" s="181"/>
      <c r="H402" s="195" t="s">
        <v>909</v>
      </c>
      <c r="I402" s="196" t="str">
        <f>IF(COUNTA(C400)&lt;1,"À faire",IFERROR(IF(C400="P-202","✓ Correct","À revoir"),"À revoir"))</f>
        <v>À faire</v>
      </c>
    </row>
    <row r="403" spans="2:9">
      <c r="B403" s="181"/>
      <c r="C403" s="181"/>
      <c r="D403" s="181"/>
      <c r="E403" s="181"/>
      <c r="F403" s="181"/>
      <c r="G403" s="181"/>
      <c r="H403" s="181"/>
      <c r="I403" s="181"/>
    </row>
    <row r="404" spans="2:9">
      <c r="B404" s="181"/>
      <c r="C404" s="181"/>
      <c r="D404" s="181"/>
      <c r="E404" s="181"/>
      <c r="F404" s="181"/>
      <c r="G404" s="181"/>
      <c r="H404" s="181"/>
      <c r="I404" s="181"/>
    </row>
    <row r="405" spans="2:9" ht="24" customHeight="1">
      <c r="B405" s="537" t="s">
        <v>1412</v>
      </c>
      <c r="C405" s="537"/>
      <c r="D405" s="537"/>
      <c r="E405" s="537"/>
      <c r="F405" s="537"/>
      <c r="G405" s="537"/>
      <c r="H405" s="182" t="s">
        <v>901</v>
      </c>
      <c r="I405" s="188" t="s">
        <v>1386</v>
      </c>
    </row>
    <row r="406" spans="2:9" ht="21" customHeight="1">
      <c r="B406" s="538" t="s">
        <v>1413</v>
      </c>
      <c r="C406" s="538"/>
      <c r="D406" s="538"/>
      <c r="E406" s="538"/>
      <c r="F406" s="538"/>
      <c r="G406" s="538"/>
      <c r="H406" s="538"/>
      <c r="I406" s="538"/>
    </row>
    <row r="407" spans="2:9" ht="21" customHeight="1">
      <c r="B407" s="538"/>
      <c r="C407" s="538"/>
      <c r="D407" s="538"/>
      <c r="E407" s="538"/>
      <c r="F407" s="538"/>
      <c r="G407" s="538"/>
      <c r="H407" s="538"/>
      <c r="I407" s="538"/>
    </row>
    <row r="408" spans="2:9">
      <c r="B408" s="181"/>
      <c r="C408" s="181"/>
      <c r="D408" s="181"/>
      <c r="E408" s="181"/>
      <c r="F408" s="181"/>
      <c r="G408" s="181"/>
      <c r="H408" s="181"/>
      <c r="I408" s="181"/>
    </row>
    <row r="409" spans="2:9" ht="15">
      <c r="B409" s="183" t="s">
        <v>1309</v>
      </c>
      <c r="C409" s="184" t="s">
        <v>1310</v>
      </c>
      <c r="D409" s="184" t="s">
        <v>1311</v>
      </c>
      <c r="E409" s="184" t="s">
        <v>933</v>
      </c>
      <c r="F409" s="185" t="s">
        <v>1312</v>
      </c>
      <c r="G409" s="181"/>
      <c r="H409" s="181"/>
      <c r="I409" s="181"/>
    </row>
    <row r="410" spans="2:9">
      <c r="B410" s="336" t="s">
        <v>1313</v>
      </c>
      <c r="C410" s="337" t="s">
        <v>1314</v>
      </c>
      <c r="D410" s="337" t="s">
        <v>1315</v>
      </c>
      <c r="E410" s="338">
        <v>24.9</v>
      </c>
      <c r="F410" s="339">
        <v>12</v>
      </c>
      <c r="G410" s="331"/>
      <c r="H410" s="181"/>
      <c r="I410" s="181"/>
    </row>
    <row r="411" spans="2:9">
      <c r="B411" s="336" t="s">
        <v>1316</v>
      </c>
      <c r="C411" s="337" t="s">
        <v>1317</v>
      </c>
      <c r="D411" s="337" t="s">
        <v>1315</v>
      </c>
      <c r="E411" s="338">
        <v>19.899999999999999</v>
      </c>
      <c r="F411" s="339">
        <v>8</v>
      </c>
      <c r="G411" s="331"/>
      <c r="H411" s="181"/>
      <c r="I411" s="181"/>
    </row>
    <row r="412" spans="2:9">
      <c r="B412" s="336" t="s">
        <v>1318</v>
      </c>
      <c r="C412" s="337" t="s">
        <v>1319</v>
      </c>
      <c r="D412" s="337" t="s">
        <v>1320</v>
      </c>
      <c r="E412" s="338">
        <v>34.5</v>
      </c>
      <c r="F412" s="339">
        <v>15</v>
      </c>
      <c r="G412" s="331"/>
      <c r="H412" s="181"/>
      <c r="I412" s="181"/>
    </row>
    <row r="413" spans="2:9">
      <c r="B413" s="336" t="s">
        <v>1321</v>
      </c>
      <c r="C413" s="337" t="s">
        <v>1322</v>
      </c>
      <c r="D413" s="337" t="s">
        <v>1323</v>
      </c>
      <c r="E413" s="338">
        <v>39.9</v>
      </c>
      <c r="F413" s="339">
        <v>7</v>
      </c>
      <c r="G413" s="331"/>
      <c r="H413" s="181"/>
      <c r="I413" s="181"/>
    </row>
    <row r="414" spans="2:9">
      <c r="B414" s="336" t="s">
        <v>1324</v>
      </c>
      <c r="C414" s="337" t="s">
        <v>1325</v>
      </c>
      <c r="D414" s="337" t="s">
        <v>1326</v>
      </c>
      <c r="E414" s="338">
        <v>29.9</v>
      </c>
      <c r="F414" s="339">
        <v>20</v>
      </c>
      <c r="G414" s="331"/>
      <c r="H414" s="181"/>
      <c r="I414" s="181"/>
    </row>
    <row r="415" spans="2:9">
      <c r="B415" s="336" t="s">
        <v>1327</v>
      </c>
      <c r="C415" s="337" t="s">
        <v>1328</v>
      </c>
      <c r="D415" s="337" t="s">
        <v>1329</v>
      </c>
      <c r="E415" s="338">
        <v>44.9</v>
      </c>
      <c r="F415" s="339">
        <v>9</v>
      </c>
      <c r="G415" s="331"/>
      <c r="H415" s="181"/>
      <c r="I415" s="181"/>
    </row>
    <row r="416" spans="2:9">
      <c r="B416" s="181"/>
      <c r="C416" s="181"/>
      <c r="D416" s="181"/>
      <c r="E416" s="181"/>
      <c r="F416" s="181"/>
      <c r="G416" s="181"/>
      <c r="H416" s="181"/>
      <c r="I416" s="181"/>
    </row>
    <row r="417" spans="2:9" ht="30">
      <c r="B417" s="181"/>
      <c r="C417" s="181"/>
      <c r="D417" s="181"/>
      <c r="E417" s="181"/>
      <c r="F417" s="181"/>
      <c r="G417" s="181"/>
      <c r="H417" s="171" t="s">
        <v>1336</v>
      </c>
      <c r="I417" s="186" t="s">
        <v>1328</v>
      </c>
    </row>
    <row r="418" spans="2:9">
      <c r="B418" s="181"/>
      <c r="C418" s="181"/>
      <c r="D418" s="181"/>
      <c r="E418" s="181"/>
      <c r="F418" s="181"/>
      <c r="G418" s="181"/>
      <c r="H418" s="181"/>
      <c r="I418" s="181"/>
    </row>
    <row r="419" spans="2:9" ht="15">
      <c r="B419" s="345" t="s">
        <v>927</v>
      </c>
      <c r="C419" s="554"/>
      <c r="D419" s="552"/>
      <c r="E419" s="552"/>
      <c r="F419" s="553"/>
      <c r="G419" s="181"/>
      <c r="H419" s="181"/>
      <c r="I419" s="181"/>
    </row>
    <row r="420" spans="2:9">
      <c r="B420" s="181"/>
      <c r="C420" s="181"/>
      <c r="D420" s="181"/>
      <c r="E420" s="181"/>
      <c r="F420" s="181"/>
      <c r="G420" s="181"/>
      <c r="H420" s="181"/>
      <c r="I420" s="181"/>
    </row>
    <row r="421" spans="2:9" ht="15">
      <c r="B421" s="181"/>
      <c r="C421" s="181"/>
      <c r="D421" s="181"/>
      <c r="E421" s="181"/>
      <c r="F421" s="181"/>
      <c r="G421" s="181"/>
      <c r="H421" s="195" t="s">
        <v>909</v>
      </c>
      <c r="I421" s="196" t="str">
        <f>IF(COUNTA(C419)&lt;1,"À faire",IFERROR(IF(C419="P-106","✓ Correct","À revoir"),"À revoir"))</f>
        <v>À faire</v>
      </c>
    </row>
    <row r="422" spans="2:9">
      <c r="B422" s="181"/>
      <c r="C422" s="181"/>
      <c r="D422" s="181"/>
      <c r="E422" s="181"/>
      <c r="F422" s="181"/>
      <c r="G422" s="181"/>
      <c r="H422" s="181"/>
      <c r="I422" s="181"/>
    </row>
    <row r="423" spans="2:9">
      <c r="B423" s="181"/>
      <c r="C423" s="181"/>
      <c r="D423" s="181"/>
      <c r="E423" s="181"/>
      <c r="F423" s="181"/>
      <c r="G423" s="181"/>
      <c r="H423" s="181"/>
      <c r="I423" s="181"/>
    </row>
    <row r="424" spans="2:9" ht="24" customHeight="1">
      <c r="B424" s="537" t="s">
        <v>1414</v>
      </c>
      <c r="C424" s="537"/>
      <c r="D424" s="537"/>
      <c r="E424" s="537"/>
      <c r="F424" s="537"/>
      <c r="G424" s="537"/>
      <c r="H424" s="182" t="s">
        <v>930</v>
      </c>
      <c r="I424" s="188" t="s">
        <v>1386</v>
      </c>
    </row>
    <row r="425" spans="2:9" ht="21" customHeight="1">
      <c r="B425" s="538" t="s">
        <v>1415</v>
      </c>
      <c r="C425" s="538"/>
      <c r="D425" s="538"/>
      <c r="E425" s="538"/>
      <c r="F425" s="538"/>
      <c r="G425" s="538"/>
      <c r="H425" s="538"/>
      <c r="I425" s="538"/>
    </row>
    <row r="426" spans="2:9" ht="21" customHeight="1">
      <c r="B426" s="538"/>
      <c r="C426" s="538"/>
      <c r="D426" s="538"/>
      <c r="E426" s="538"/>
      <c r="F426" s="538"/>
      <c r="G426" s="538"/>
      <c r="H426" s="538"/>
      <c r="I426" s="538"/>
    </row>
    <row r="427" spans="2:9">
      <c r="B427" s="181"/>
      <c r="C427" s="181"/>
      <c r="D427" s="181"/>
      <c r="E427" s="181"/>
      <c r="F427" s="181"/>
      <c r="G427" s="181"/>
      <c r="H427" s="181"/>
      <c r="I427" s="181"/>
    </row>
    <row r="428" spans="2:9" ht="15">
      <c r="B428" s="183" t="s">
        <v>1416</v>
      </c>
      <c r="C428" s="184" t="s">
        <v>1309</v>
      </c>
      <c r="D428" s="185" t="s">
        <v>1417</v>
      </c>
      <c r="E428" s="181"/>
      <c r="F428" s="181"/>
      <c r="G428" s="181"/>
      <c r="H428" s="181"/>
      <c r="I428" s="181"/>
    </row>
    <row r="429" spans="2:9">
      <c r="B429" s="336" t="s">
        <v>1418</v>
      </c>
      <c r="C429" s="337" t="s">
        <v>1321</v>
      </c>
      <c r="D429" s="341">
        <v>39.9</v>
      </c>
      <c r="E429" s="331"/>
      <c r="F429" s="181"/>
      <c r="G429" s="181"/>
      <c r="H429" s="181"/>
      <c r="I429" s="181"/>
    </row>
    <row r="430" spans="2:9">
      <c r="B430" s="336" t="s">
        <v>1419</v>
      </c>
      <c r="C430" s="337" t="s">
        <v>1316</v>
      </c>
      <c r="D430" s="341">
        <v>19.899999999999999</v>
      </c>
      <c r="E430" s="331"/>
      <c r="F430" s="181"/>
      <c r="G430" s="181"/>
      <c r="H430" s="181"/>
      <c r="I430" s="181"/>
    </row>
    <row r="431" spans="2:9">
      <c r="B431" s="336" t="s">
        <v>1420</v>
      </c>
      <c r="C431" s="337" t="s">
        <v>1321</v>
      </c>
      <c r="D431" s="341">
        <v>37.9</v>
      </c>
      <c r="E431" s="331"/>
      <c r="F431" s="181"/>
      <c r="G431" s="181"/>
      <c r="H431" s="181"/>
      <c r="I431" s="181"/>
    </row>
    <row r="432" spans="2:9">
      <c r="B432" s="336" t="s">
        <v>1421</v>
      </c>
      <c r="C432" s="337" t="s">
        <v>1324</v>
      </c>
      <c r="D432" s="341">
        <v>29.9</v>
      </c>
      <c r="E432" s="331"/>
      <c r="F432" s="181"/>
      <c r="G432" s="181"/>
      <c r="H432" s="181"/>
      <c r="I432" s="181"/>
    </row>
    <row r="433" spans="2:9">
      <c r="B433" s="336" t="s">
        <v>1422</v>
      </c>
      <c r="C433" s="337" t="s">
        <v>1321</v>
      </c>
      <c r="D433" s="341">
        <v>35.9</v>
      </c>
      <c r="E433" s="331"/>
      <c r="F433" s="181"/>
      <c r="G433" s="181"/>
      <c r="H433" s="181"/>
      <c r="I433" s="181"/>
    </row>
    <row r="434" spans="2:9">
      <c r="B434" s="336" t="s">
        <v>1423</v>
      </c>
      <c r="C434" s="337" t="s">
        <v>1318</v>
      </c>
      <c r="D434" s="341">
        <v>34.5</v>
      </c>
      <c r="E434" s="331"/>
      <c r="F434" s="181"/>
      <c r="G434" s="181"/>
      <c r="H434" s="181"/>
      <c r="I434" s="181"/>
    </row>
    <row r="435" spans="2:9">
      <c r="B435" s="181"/>
      <c r="C435" s="181"/>
      <c r="D435" s="181"/>
      <c r="E435" s="181"/>
      <c r="F435" s="181"/>
      <c r="G435" s="181"/>
      <c r="H435" s="181"/>
      <c r="I435" s="181"/>
    </row>
    <row r="436" spans="2:9" ht="15">
      <c r="B436" s="181"/>
      <c r="C436" s="181"/>
      <c r="D436" s="181"/>
      <c r="E436" s="181"/>
      <c r="F436" s="181"/>
      <c r="G436" s="181"/>
      <c r="H436" s="171" t="s">
        <v>1330</v>
      </c>
      <c r="I436" s="186" t="s">
        <v>1321</v>
      </c>
    </row>
    <row r="437" spans="2:9">
      <c r="B437" s="181"/>
      <c r="C437" s="181"/>
      <c r="D437" s="181"/>
      <c r="E437" s="181"/>
      <c r="F437" s="181"/>
      <c r="G437" s="181"/>
      <c r="H437" s="181"/>
      <c r="I437" s="181"/>
    </row>
    <row r="438" spans="2:9" ht="15">
      <c r="B438" s="345" t="s">
        <v>927</v>
      </c>
      <c r="C438" s="549"/>
      <c r="D438" s="552"/>
      <c r="E438" s="552"/>
      <c r="F438" s="553"/>
      <c r="G438" s="181"/>
      <c r="H438" s="181"/>
      <c r="I438" s="181"/>
    </row>
    <row r="439" spans="2:9">
      <c r="B439" s="181"/>
      <c r="C439" s="181"/>
      <c r="D439" s="181"/>
      <c r="E439" s="181"/>
      <c r="F439" s="181"/>
      <c r="G439" s="181"/>
      <c r="H439" s="181"/>
      <c r="I439" s="181"/>
    </row>
    <row r="440" spans="2:9" ht="15">
      <c r="B440" s="181"/>
      <c r="C440" s="181"/>
      <c r="D440" s="181"/>
      <c r="E440" s="181"/>
      <c r="F440" s="181"/>
      <c r="G440" s="181"/>
      <c r="H440" s="195" t="s">
        <v>909</v>
      </c>
      <c r="I440" s="196" t="str">
        <f>IF(COUNTA(C438)&lt;1,"À faire",IFERROR(IF(ABS(C438-35.9)&lt;0.0001,"✓ Correct","À revoir"),"À revoir"))</f>
        <v>À faire</v>
      </c>
    </row>
    <row r="441" spans="2:9">
      <c r="B441" s="181"/>
      <c r="C441" s="181"/>
      <c r="D441" s="181"/>
      <c r="E441" s="181"/>
      <c r="F441" s="181"/>
      <c r="G441" s="181"/>
      <c r="H441" s="181"/>
      <c r="I441" s="181"/>
    </row>
    <row r="442" spans="2:9">
      <c r="B442" s="181"/>
      <c r="C442" s="181"/>
      <c r="D442" s="181"/>
      <c r="E442" s="181"/>
      <c r="F442" s="181"/>
      <c r="G442" s="181"/>
      <c r="H442" s="181"/>
      <c r="I442" s="181"/>
    </row>
    <row r="443" spans="2:9" ht="24" customHeight="1">
      <c r="B443" s="537" t="s">
        <v>1424</v>
      </c>
      <c r="C443" s="537"/>
      <c r="D443" s="537"/>
      <c r="E443" s="537"/>
      <c r="F443" s="537"/>
      <c r="G443" s="537"/>
      <c r="H443" s="182" t="s">
        <v>930</v>
      </c>
      <c r="I443" s="188" t="s">
        <v>1386</v>
      </c>
    </row>
    <row r="444" spans="2:9" ht="21" customHeight="1">
      <c r="B444" s="538" t="s">
        <v>1425</v>
      </c>
      <c r="C444" s="538"/>
      <c r="D444" s="538"/>
      <c r="E444" s="538"/>
      <c r="F444" s="538"/>
      <c r="G444" s="538"/>
      <c r="H444" s="538"/>
      <c r="I444" s="538"/>
    </row>
    <row r="445" spans="2:9" ht="21" customHeight="1">
      <c r="B445" s="538"/>
      <c r="C445" s="538"/>
      <c r="D445" s="538"/>
      <c r="E445" s="538"/>
      <c r="F445" s="538"/>
      <c r="G445" s="538"/>
      <c r="H445" s="538"/>
      <c r="I445" s="538"/>
    </row>
    <row r="446" spans="2:9">
      <c r="B446" s="181"/>
      <c r="C446" s="181"/>
      <c r="D446" s="181"/>
      <c r="E446" s="181"/>
      <c r="F446" s="181"/>
      <c r="G446" s="181"/>
      <c r="H446" s="181"/>
      <c r="I446" s="181"/>
    </row>
    <row r="447" spans="2:9" ht="15">
      <c r="B447" s="183" t="s">
        <v>1309</v>
      </c>
      <c r="C447" s="184" t="s">
        <v>1310</v>
      </c>
      <c r="D447" s="184" t="s">
        <v>1311</v>
      </c>
      <c r="E447" s="184" t="s">
        <v>933</v>
      </c>
      <c r="F447" s="185" t="s">
        <v>1312</v>
      </c>
      <c r="G447" s="181"/>
      <c r="H447" s="181"/>
      <c r="I447" s="181"/>
    </row>
    <row r="448" spans="2:9">
      <c r="B448" s="336" t="s">
        <v>1313</v>
      </c>
      <c r="C448" s="337" t="s">
        <v>1314</v>
      </c>
      <c r="D448" s="337" t="s">
        <v>1315</v>
      </c>
      <c r="E448" s="338">
        <v>24.9</v>
      </c>
      <c r="F448" s="339">
        <v>12</v>
      </c>
      <c r="G448" s="331"/>
      <c r="H448" s="181"/>
      <c r="I448" s="181"/>
    </row>
    <row r="449" spans="2:9">
      <c r="B449" s="336" t="s">
        <v>1316</v>
      </c>
      <c r="C449" s="337" t="s">
        <v>1317</v>
      </c>
      <c r="D449" s="337" t="s">
        <v>1315</v>
      </c>
      <c r="E449" s="338">
        <v>19.899999999999999</v>
      </c>
      <c r="F449" s="339">
        <v>8</v>
      </c>
      <c r="G449" s="331"/>
      <c r="H449" s="181"/>
      <c r="I449" s="181"/>
    </row>
    <row r="450" spans="2:9">
      <c r="B450" s="336" t="s">
        <v>1318</v>
      </c>
      <c r="C450" s="337" t="s">
        <v>1319</v>
      </c>
      <c r="D450" s="337" t="s">
        <v>1320</v>
      </c>
      <c r="E450" s="338">
        <v>34.5</v>
      </c>
      <c r="F450" s="339">
        <v>15</v>
      </c>
      <c r="G450" s="331"/>
      <c r="H450" s="181"/>
      <c r="I450" s="181"/>
    </row>
    <row r="451" spans="2:9">
      <c r="B451" s="336" t="s">
        <v>1321</v>
      </c>
      <c r="C451" s="337" t="s">
        <v>1322</v>
      </c>
      <c r="D451" s="337" t="s">
        <v>1323</v>
      </c>
      <c r="E451" s="338">
        <v>39.9</v>
      </c>
      <c r="F451" s="339">
        <v>7</v>
      </c>
      <c r="G451" s="331"/>
      <c r="H451" s="181"/>
      <c r="I451" s="181"/>
    </row>
    <row r="452" spans="2:9">
      <c r="B452" s="336" t="s">
        <v>1324</v>
      </c>
      <c r="C452" s="337" t="s">
        <v>1325</v>
      </c>
      <c r="D452" s="337" t="s">
        <v>1326</v>
      </c>
      <c r="E452" s="338">
        <v>29.9</v>
      </c>
      <c r="F452" s="339">
        <v>20</v>
      </c>
      <c r="G452" s="331"/>
      <c r="H452" s="181"/>
      <c r="I452" s="181"/>
    </row>
    <row r="453" spans="2:9">
      <c r="B453" s="336" t="s">
        <v>1327</v>
      </c>
      <c r="C453" s="337" t="s">
        <v>1328</v>
      </c>
      <c r="D453" s="337" t="s">
        <v>1329</v>
      </c>
      <c r="E453" s="338">
        <v>44.9</v>
      </c>
      <c r="F453" s="339">
        <v>9</v>
      </c>
      <c r="G453" s="331"/>
      <c r="H453" s="181"/>
      <c r="I453" s="181"/>
    </row>
    <row r="454" spans="2:9">
      <c r="B454" s="181"/>
      <c r="C454" s="181"/>
      <c r="D454" s="181"/>
      <c r="E454" s="181"/>
      <c r="F454" s="181"/>
      <c r="G454" s="181"/>
      <c r="H454" s="181"/>
      <c r="I454" s="181"/>
    </row>
    <row r="455" spans="2:9" ht="15">
      <c r="B455" s="181"/>
      <c r="C455" s="181"/>
      <c r="D455" s="181"/>
      <c r="E455" s="181"/>
      <c r="F455" s="181"/>
      <c r="G455" s="181"/>
      <c r="H455" s="171" t="s">
        <v>1330</v>
      </c>
      <c r="I455" s="186" t="s">
        <v>1318</v>
      </c>
    </row>
    <row r="456" spans="2:9">
      <c r="B456" s="181"/>
      <c r="C456" s="181"/>
      <c r="D456" s="181"/>
      <c r="E456" s="181"/>
      <c r="F456" s="181"/>
      <c r="G456" s="181"/>
      <c r="H456" s="181"/>
      <c r="I456" s="181"/>
    </row>
    <row r="457" spans="2:9" ht="15">
      <c r="B457" s="170" t="s">
        <v>1426</v>
      </c>
      <c r="C457" s="187" t="s">
        <v>1310</v>
      </c>
      <c r="D457" s="187" t="s">
        <v>1311</v>
      </c>
      <c r="E457" s="187" t="s">
        <v>933</v>
      </c>
      <c r="F457" s="187" t="s">
        <v>1312</v>
      </c>
      <c r="G457" s="181"/>
      <c r="H457" s="181"/>
      <c r="I457" s="181"/>
    </row>
    <row r="458" spans="2:9">
      <c r="B458" s="331"/>
      <c r="C458" s="348"/>
      <c r="D458" s="189"/>
      <c r="E458" s="190"/>
      <c r="F458" s="191"/>
      <c r="G458" s="181"/>
      <c r="H458" s="181"/>
      <c r="I458" s="181"/>
    </row>
    <row r="459" spans="2:9">
      <c r="B459" s="181"/>
      <c r="C459" s="181"/>
      <c r="D459" s="181"/>
      <c r="E459" s="181"/>
      <c r="F459" s="181"/>
      <c r="G459" s="181"/>
      <c r="H459" s="181"/>
      <c r="I459" s="181"/>
    </row>
    <row r="460" spans="2:9" ht="15">
      <c r="B460" s="181"/>
      <c r="C460" s="181"/>
      <c r="D460" s="181"/>
      <c r="E460" s="181"/>
      <c r="F460" s="181"/>
      <c r="G460" s="181"/>
      <c r="H460" s="195" t="s">
        <v>909</v>
      </c>
      <c r="I460" s="196" t="str">
        <f>IF(COUNTA(C458:F458)&lt;4,"À faire",IFERROR(IF(AND(_xludf.ISFORMULA(C458),NOT(_xludf.ISFORMULA(D458)),NOT(_xludf.ISFORMULA(E458)),NOT(_xludf.ISFORMULA(F458)),C458="Support écran",D458="Mobilier",ABS(E458-34.5)&lt;0.0001,F458=15),"✓ Correct","À revoir"),"À revoir"))</f>
        <v>À faire</v>
      </c>
    </row>
    <row r="461" spans="2:9">
      <c r="B461" s="181"/>
      <c r="C461" s="181"/>
      <c r="D461" s="181"/>
      <c r="E461" s="181"/>
      <c r="F461" s="181"/>
      <c r="G461" s="181"/>
      <c r="H461" s="181"/>
      <c r="I461" s="181"/>
    </row>
    <row r="462" spans="2:9">
      <c r="B462" s="181"/>
      <c r="C462" s="181"/>
      <c r="D462" s="181"/>
      <c r="E462" s="181"/>
      <c r="F462" s="181"/>
      <c r="G462" s="181"/>
      <c r="H462" s="181"/>
      <c r="I462" s="181"/>
    </row>
    <row r="463" spans="2:9" ht="21.95" customHeight="1">
      <c r="B463" s="548" t="s">
        <v>1427</v>
      </c>
      <c r="C463" s="548"/>
      <c r="D463" s="548"/>
      <c r="E463" s="548"/>
      <c r="F463" s="548"/>
      <c r="G463" s="548"/>
      <c r="H463" s="548"/>
      <c r="I463" s="548"/>
    </row>
    <row r="464" spans="2:9">
      <c r="B464" s="181"/>
      <c r="C464" s="181"/>
      <c r="D464" s="181"/>
      <c r="E464" s="181"/>
      <c r="F464" s="181"/>
      <c r="G464" s="181"/>
      <c r="H464" s="181"/>
      <c r="I464" s="181"/>
    </row>
    <row r="465" spans="2:9" ht="24" customHeight="1">
      <c r="B465" s="537" t="s">
        <v>1428</v>
      </c>
      <c r="C465" s="537"/>
      <c r="D465" s="537"/>
      <c r="E465" s="537"/>
      <c r="F465" s="537"/>
      <c r="G465" s="537"/>
      <c r="H465" s="182" t="s">
        <v>930</v>
      </c>
      <c r="I465" s="141" t="s">
        <v>902</v>
      </c>
    </row>
    <row r="466" spans="2:9" ht="21" customHeight="1">
      <c r="B466" s="538" t="s">
        <v>1429</v>
      </c>
      <c r="C466" s="538"/>
      <c r="D466" s="538"/>
      <c r="E466" s="538"/>
      <c r="F466" s="538"/>
      <c r="G466" s="538"/>
      <c r="H466" s="538"/>
      <c r="I466" s="538"/>
    </row>
    <row r="467" spans="2:9" ht="21" customHeight="1">
      <c r="B467" s="538"/>
      <c r="C467" s="538"/>
      <c r="D467" s="538"/>
      <c r="E467" s="538"/>
      <c r="F467" s="538"/>
      <c r="G467" s="538"/>
      <c r="H467" s="538"/>
      <c r="I467" s="538"/>
    </row>
    <row r="468" spans="2:9">
      <c r="B468" s="181"/>
      <c r="C468" s="181"/>
      <c r="D468" s="181"/>
      <c r="E468" s="181"/>
      <c r="F468" s="181"/>
      <c r="G468" s="181"/>
      <c r="H468" s="181"/>
      <c r="I468" s="181"/>
    </row>
    <row r="469" spans="2:9" ht="15">
      <c r="B469" s="183" t="s">
        <v>1310</v>
      </c>
      <c r="C469" s="184" t="s">
        <v>1311</v>
      </c>
      <c r="D469" s="185" t="s">
        <v>933</v>
      </c>
      <c r="E469" s="181"/>
      <c r="F469" s="181"/>
      <c r="G469" s="181"/>
      <c r="H469" s="181"/>
      <c r="I469" s="181"/>
    </row>
    <row r="470" spans="2:9">
      <c r="B470" s="336" t="s">
        <v>1314</v>
      </c>
      <c r="C470" s="337" t="s">
        <v>1315</v>
      </c>
      <c r="D470" s="341">
        <v>24.9</v>
      </c>
      <c r="E470" s="331"/>
      <c r="F470" s="181"/>
      <c r="G470" s="181"/>
      <c r="H470" s="181"/>
      <c r="I470" s="181"/>
    </row>
    <row r="471" spans="2:9">
      <c r="B471" s="336" t="s">
        <v>1317</v>
      </c>
      <c r="C471" s="337" t="s">
        <v>1315</v>
      </c>
      <c r="D471" s="341">
        <v>19.899999999999999</v>
      </c>
      <c r="E471" s="331"/>
      <c r="F471" s="181"/>
      <c r="G471" s="181"/>
      <c r="H471" s="181"/>
      <c r="I471" s="181"/>
    </row>
    <row r="472" spans="2:9">
      <c r="B472" s="336" t="s">
        <v>1403</v>
      </c>
      <c r="C472" s="337" t="s">
        <v>1329</v>
      </c>
      <c r="D472" s="341">
        <v>89.9</v>
      </c>
      <c r="E472" s="331"/>
      <c r="F472" s="181"/>
      <c r="G472" s="181"/>
      <c r="H472" s="181"/>
      <c r="I472" s="181"/>
    </row>
    <row r="473" spans="2:9">
      <c r="B473" s="336" t="s">
        <v>1322</v>
      </c>
      <c r="C473" s="337" t="s">
        <v>1323</v>
      </c>
      <c r="D473" s="341">
        <v>39.9</v>
      </c>
      <c r="E473" s="331"/>
      <c r="F473" s="181"/>
      <c r="G473" s="181"/>
      <c r="H473" s="181"/>
      <c r="I473" s="181"/>
    </row>
    <row r="474" spans="2:9">
      <c r="B474" s="336" t="s">
        <v>1325</v>
      </c>
      <c r="C474" s="337" t="s">
        <v>1326</v>
      </c>
      <c r="D474" s="341">
        <v>29.9</v>
      </c>
      <c r="E474" s="331"/>
      <c r="F474" s="181"/>
      <c r="G474" s="181"/>
      <c r="H474" s="181"/>
      <c r="I474" s="181"/>
    </row>
    <row r="475" spans="2:9">
      <c r="B475" s="181"/>
      <c r="C475" s="181"/>
      <c r="D475" s="181"/>
      <c r="E475" s="181"/>
      <c r="F475" s="181"/>
      <c r="G475" s="181"/>
      <c r="H475" s="181"/>
      <c r="I475" s="181"/>
    </row>
    <row r="476" spans="2:9" ht="15">
      <c r="B476" s="181"/>
      <c r="C476" s="181"/>
      <c r="D476" s="181"/>
      <c r="E476" s="181"/>
      <c r="F476" s="181"/>
      <c r="G476" s="181"/>
      <c r="H476" s="171" t="s">
        <v>1410</v>
      </c>
      <c r="I476" s="186" t="s">
        <v>1411</v>
      </c>
    </row>
    <row r="477" spans="2:9">
      <c r="B477" s="181"/>
      <c r="C477" s="181"/>
      <c r="D477" s="181"/>
      <c r="E477" s="181"/>
      <c r="F477" s="181"/>
      <c r="G477" s="181"/>
      <c r="H477" s="181"/>
      <c r="I477" s="181"/>
    </row>
    <row r="478" spans="2:9" ht="15">
      <c r="B478" s="345" t="s">
        <v>927</v>
      </c>
      <c r="C478" s="549"/>
      <c r="D478" s="550"/>
      <c r="E478" s="550"/>
      <c r="F478" s="551"/>
      <c r="G478" s="181"/>
      <c r="H478" s="181"/>
      <c r="I478" s="181"/>
    </row>
    <row r="479" spans="2:9">
      <c r="B479" s="181"/>
      <c r="C479" s="181"/>
      <c r="D479" s="181"/>
      <c r="E479" s="181"/>
      <c r="F479" s="181"/>
      <c r="G479" s="181"/>
      <c r="H479" s="181"/>
      <c r="I479" s="181"/>
    </row>
    <row r="480" spans="2:9" ht="15">
      <c r="B480" s="181"/>
      <c r="C480" s="181"/>
      <c r="D480" s="181"/>
      <c r="E480" s="181"/>
      <c r="F480" s="181"/>
      <c r="G480" s="181"/>
      <c r="H480" s="195" t="s">
        <v>909</v>
      </c>
      <c r="I480" s="196" t="str">
        <f>IF(COUNTA(C478)&lt;1,"À faire",IFERROR(IF(ABS(C478-89.9)&lt;0.0001,"✓ Correct","À revoir"),"À revoir"))</f>
        <v>À faire</v>
      </c>
    </row>
    <row r="481" spans="2:9">
      <c r="B481" s="181"/>
      <c r="C481" s="181"/>
      <c r="D481" s="181"/>
      <c r="E481" s="181"/>
      <c r="F481" s="181"/>
      <c r="G481" s="181"/>
      <c r="H481" s="181"/>
      <c r="I481" s="181"/>
    </row>
    <row r="482" spans="2:9">
      <c r="B482" s="181"/>
      <c r="C482" s="181"/>
      <c r="D482" s="181"/>
      <c r="E482" s="181"/>
      <c r="F482" s="181"/>
      <c r="G482" s="181"/>
      <c r="H482" s="181"/>
      <c r="I482" s="181"/>
    </row>
    <row r="483" spans="2:9" ht="24" customHeight="1">
      <c r="B483" s="537" t="s">
        <v>1430</v>
      </c>
      <c r="C483" s="537"/>
      <c r="D483" s="537"/>
      <c r="E483" s="537"/>
      <c r="F483" s="537"/>
      <c r="G483" s="537"/>
      <c r="H483" s="182" t="s">
        <v>930</v>
      </c>
      <c r="I483" s="141" t="s">
        <v>902</v>
      </c>
    </row>
    <row r="484" spans="2:9" ht="21" customHeight="1">
      <c r="B484" s="538" t="s">
        <v>1431</v>
      </c>
      <c r="C484" s="538"/>
      <c r="D484" s="538"/>
      <c r="E484" s="538"/>
      <c r="F484" s="538"/>
      <c r="G484" s="538"/>
      <c r="H484" s="538"/>
      <c r="I484" s="538"/>
    </row>
    <row r="485" spans="2:9" ht="21" customHeight="1">
      <c r="B485" s="538"/>
      <c r="C485" s="538"/>
      <c r="D485" s="538"/>
      <c r="E485" s="538"/>
      <c r="F485" s="538"/>
      <c r="G485" s="538"/>
      <c r="H485" s="538"/>
      <c r="I485" s="538"/>
    </row>
    <row r="486" spans="2:9">
      <c r="B486" s="181"/>
      <c r="C486" s="181"/>
      <c r="D486" s="181"/>
      <c r="E486" s="181"/>
      <c r="F486" s="181"/>
      <c r="G486" s="181"/>
      <c r="H486" s="181"/>
      <c r="I486" s="181"/>
    </row>
    <row r="487" spans="2:9" ht="15">
      <c r="B487" s="183" t="s">
        <v>1225</v>
      </c>
      <c r="C487" s="185" t="s">
        <v>1310</v>
      </c>
      <c r="D487" s="181"/>
      <c r="E487" s="181"/>
      <c r="F487" s="181"/>
      <c r="G487" s="181"/>
      <c r="H487" s="181"/>
      <c r="I487" s="181"/>
    </row>
    <row r="488" spans="2:9">
      <c r="B488" s="336" t="s">
        <v>1432</v>
      </c>
      <c r="C488" s="339" t="s">
        <v>1314</v>
      </c>
      <c r="D488" s="331"/>
      <c r="E488" s="181"/>
      <c r="F488" s="181"/>
      <c r="G488" s="181"/>
      <c r="H488" s="181"/>
      <c r="I488" s="181"/>
    </row>
    <row r="489" spans="2:9">
      <c r="B489" s="336" t="s">
        <v>1433</v>
      </c>
      <c r="C489" s="339" t="s">
        <v>1317</v>
      </c>
      <c r="D489" s="331"/>
      <c r="E489" s="181"/>
      <c r="F489" s="181"/>
      <c r="G489" s="181"/>
      <c r="H489" s="181"/>
      <c r="I489" s="181"/>
    </row>
    <row r="490" spans="2:9">
      <c r="B490" s="336" t="s">
        <v>1434</v>
      </c>
      <c r="C490" s="339" t="s">
        <v>1319</v>
      </c>
      <c r="D490" s="331"/>
      <c r="E490" s="181"/>
      <c r="F490" s="181"/>
      <c r="G490" s="181"/>
      <c r="H490" s="181"/>
      <c r="I490" s="181"/>
    </row>
    <row r="491" spans="2:9">
      <c r="B491" s="336" t="s">
        <v>1435</v>
      </c>
      <c r="C491" s="339" t="s">
        <v>1322</v>
      </c>
      <c r="D491" s="331"/>
      <c r="E491" s="181"/>
      <c r="F491" s="181"/>
      <c r="G491" s="181"/>
      <c r="H491" s="181"/>
      <c r="I491" s="181"/>
    </row>
    <row r="492" spans="2:9">
      <c r="B492" s="336" t="s">
        <v>1436</v>
      </c>
      <c r="C492" s="339" t="s">
        <v>1325</v>
      </c>
      <c r="D492" s="331"/>
      <c r="E492" s="181"/>
      <c r="F492" s="181"/>
      <c r="G492" s="181"/>
      <c r="H492" s="181"/>
      <c r="I492" s="181"/>
    </row>
    <row r="493" spans="2:9">
      <c r="B493" s="181"/>
      <c r="C493" s="181"/>
      <c r="D493" s="181"/>
      <c r="E493" s="181"/>
      <c r="F493" s="181"/>
      <c r="G493" s="181"/>
      <c r="H493" s="181"/>
      <c r="I493" s="181"/>
    </row>
    <row r="494" spans="2:9" ht="15">
      <c r="B494" s="181"/>
      <c r="C494" s="181"/>
      <c r="D494" s="181"/>
      <c r="E494" s="181"/>
      <c r="F494" s="181"/>
      <c r="G494" s="181"/>
      <c r="H494" s="171" t="s">
        <v>1410</v>
      </c>
      <c r="I494" s="186" t="s">
        <v>1437</v>
      </c>
    </row>
    <row r="495" spans="2:9">
      <c r="B495" s="181"/>
      <c r="C495" s="181"/>
      <c r="D495" s="181"/>
      <c r="E495" s="181"/>
      <c r="F495" s="181"/>
      <c r="G495" s="181"/>
      <c r="H495" s="181"/>
      <c r="I495" s="181"/>
    </row>
    <row r="496" spans="2:9" ht="15">
      <c r="B496" s="345" t="s">
        <v>927</v>
      </c>
      <c r="C496" s="554"/>
      <c r="D496" s="552"/>
      <c r="E496" s="552"/>
      <c r="F496" s="553"/>
      <c r="G496" s="181"/>
      <c r="H496" s="181"/>
      <c r="I496" s="181"/>
    </row>
    <row r="497" spans="2:9">
      <c r="B497" s="181"/>
      <c r="C497" s="181"/>
      <c r="D497" s="181"/>
      <c r="E497" s="181"/>
      <c r="F497" s="181"/>
      <c r="G497" s="181"/>
      <c r="H497" s="181"/>
      <c r="I497" s="181"/>
    </row>
    <row r="498" spans="2:9" ht="15">
      <c r="B498" s="181"/>
      <c r="C498" s="181"/>
      <c r="D498" s="181"/>
      <c r="E498" s="181"/>
      <c r="F498" s="181"/>
      <c r="G498" s="181"/>
      <c r="H498" s="195" t="s">
        <v>909</v>
      </c>
      <c r="I498" s="196" t="str">
        <f>IF(COUNTA(C496)&lt;1,"À faire",IFERROR(IF(C496="Support écran","✓ Correct","À revoir"),"À revoir"))</f>
        <v>À faire</v>
      </c>
    </row>
    <row r="499" spans="2:9">
      <c r="B499" s="181"/>
      <c r="C499" s="181"/>
      <c r="D499" s="181"/>
      <c r="E499" s="181"/>
      <c r="F499" s="181"/>
      <c r="G499" s="181"/>
      <c r="H499" s="181"/>
      <c r="I499" s="181"/>
    </row>
    <row r="500" spans="2:9">
      <c r="B500" s="181"/>
      <c r="C500" s="181"/>
      <c r="D500" s="181"/>
      <c r="E500" s="181"/>
      <c r="F500" s="181"/>
      <c r="G500" s="181"/>
      <c r="H500" s="181"/>
      <c r="I500" s="181"/>
    </row>
    <row r="501" spans="2:9" ht="24" customHeight="1">
      <c r="B501" s="537" t="s">
        <v>1438</v>
      </c>
      <c r="C501" s="537"/>
      <c r="D501" s="537"/>
      <c r="E501" s="537"/>
      <c r="F501" s="537"/>
      <c r="G501" s="537"/>
      <c r="H501" s="182" t="s">
        <v>947</v>
      </c>
      <c r="I501" s="188" t="s">
        <v>1386</v>
      </c>
    </row>
    <row r="502" spans="2:9" ht="21" customHeight="1">
      <c r="B502" s="538" t="s">
        <v>1439</v>
      </c>
      <c r="C502" s="538"/>
      <c r="D502" s="538"/>
      <c r="E502" s="538"/>
      <c r="F502" s="538"/>
      <c r="G502" s="538"/>
      <c r="H502" s="538"/>
      <c r="I502" s="538"/>
    </row>
    <row r="503" spans="2:9" ht="21" customHeight="1">
      <c r="B503" s="538"/>
      <c r="C503" s="538"/>
      <c r="D503" s="538"/>
      <c r="E503" s="538"/>
      <c r="F503" s="538"/>
      <c r="G503" s="538"/>
      <c r="H503" s="538"/>
      <c r="I503" s="538"/>
    </row>
    <row r="504" spans="2:9">
      <c r="B504" s="181"/>
      <c r="C504" s="181"/>
      <c r="D504" s="181"/>
      <c r="E504" s="181"/>
      <c r="F504" s="181"/>
      <c r="G504" s="181"/>
      <c r="H504" s="181"/>
      <c r="I504" s="181"/>
    </row>
    <row r="505" spans="2:9" ht="15">
      <c r="B505" s="183" t="s">
        <v>1440</v>
      </c>
      <c r="C505" s="185" t="s">
        <v>1441</v>
      </c>
      <c r="D505" s="181"/>
      <c r="E505" s="181"/>
      <c r="F505" s="181"/>
      <c r="G505" s="181"/>
      <c r="H505" s="181"/>
      <c r="I505" s="181"/>
    </row>
    <row r="506" spans="2:9">
      <c r="B506" s="336" t="s">
        <v>1442</v>
      </c>
      <c r="C506" s="341">
        <v>79.900000000000006</v>
      </c>
      <c r="D506" s="331"/>
      <c r="E506" s="181"/>
      <c r="F506" s="181"/>
      <c r="G506" s="181"/>
      <c r="H506" s="181"/>
      <c r="I506" s="181"/>
    </row>
    <row r="507" spans="2:9">
      <c r="B507" s="336" t="s">
        <v>1443</v>
      </c>
      <c r="C507" s="341">
        <v>69.900000000000006</v>
      </c>
      <c r="D507" s="331"/>
      <c r="E507" s="181"/>
      <c r="F507" s="181"/>
      <c r="G507" s="181"/>
      <c r="H507" s="181"/>
      <c r="I507" s="181"/>
    </row>
    <row r="508" spans="2:9">
      <c r="B508" s="336" t="s">
        <v>1444</v>
      </c>
      <c r="C508" s="341">
        <v>74.900000000000006</v>
      </c>
      <c r="D508" s="331"/>
      <c r="E508" s="181"/>
      <c r="F508" s="181"/>
      <c r="G508" s="181"/>
      <c r="H508" s="181"/>
      <c r="I508" s="181"/>
    </row>
    <row r="509" spans="2:9">
      <c r="B509" s="336" t="s">
        <v>1445</v>
      </c>
      <c r="C509" s="341">
        <v>84.9</v>
      </c>
      <c r="D509" s="331"/>
      <c r="E509" s="181"/>
      <c r="F509" s="181"/>
      <c r="G509" s="181"/>
      <c r="H509" s="181"/>
      <c r="I509" s="181"/>
    </row>
    <row r="510" spans="2:9">
      <c r="B510" s="181"/>
      <c r="C510" s="181"/>
      <c r="D510" s="181"/>
      <c r="E510" s="181"/>
      <c r="F510" s="181"/>
      <c r="G510" s="181"/>
      <c r="H510" s="181"/>
      <c r="I510" s="181"/>
    </row>
    <row r="511" spans="2:9" ht="15">
      <c r="B511" s="181"/>
      <c r="C511" s="181"/>
      <c r="D511" s="181"/>
      <c r="E511" s="181"/>
      <c r="F511" s="181"/>
      <c r="G511" s="181"/>
      <c r="H511" s="171" t="s">
        <v>1446</v>
      </c>
      <c r="I511" s="186" t="s">
        <v>1447</v>
      </c>
    </row>
    <row r="512" spans="2:9">
      <c r="B512" s="181"/>
      <c r="C512" s="181"/>
      <c r="D512" s="181"/>
      <c r="E512" s="181"/>
      <c r="F512" s="181"/>
      <c r="G512" s="181"/>
      <c r="H512" s="181"/>
      <c r="I512" s="181"/>
    </row>
    <row r="513" spans="2:9" ht="15">
      <c r="B513" s="345" t="s">
        <v>927</v>
      </c>
      <c r="C513" s="549"/>
      <c r="D513" s="550"/>
      <c r="E513" s="550"/>
      <c r="F513" s="551"/>
      <c r="G513" s="181"/>
      <c r="H513" s="181"/>
      <c r="I513" s="181"/>
    </row>
    <row r="514" spans="2:9">
      <c r="B514" s="181"/>
      <c r="C514" s="181"/>
      <c r="D514" s="181"/>
      <c r="E514" s="181"/>
      <c r="F514" s="181"/>
      <c r="G514" s="181"/>
      <c r="H514" s="181"/>
      <c r="I514" s="181"/>
    </row>
    <row r="515" spans="2:9" ht="15">
      <c r="B515" s="181"/>
      <c r="C515" s="181"/>
      <c r="D515" s="181"/>
      <c r="E515" s="181"/>
      <c r="F515" s="181"/>
      <c r="G515" s="181"/>
      <c r="H515" s="195" t="s">
        <v>909</v>
      </c>
      <c r="I515" s="196" t="str">
        <f>IF(COUNTA(C513)&lt;1,"À faire",IFERROR(IF(ABS(C513-79.9)&lt;0.0001,"✓ Correct","À revoir"),"À revoir"))</f>
        <v>À faire</v>
      </c>
    </row>
    <row r="516" spans="2:9">
      <c r="B516" s="181"/>
      <c r="C516" s="181"/>
      <c r="D516" s="181"/>
      <c r="E516" s="181"/>
      <c r="F516" s="181"/>
      <c r="G516" s="181"/>
      <c r="H516" s="181"/>
      <c r="I516" s="181"/>
    </row>
    <row r="517" spans="2:9">
      <c r="B517" s="181"/>
      <c r="C517" s="181"/>
      <c r="D517" s="181"/>
      <c r="E517" s="181"/>
      <c r="F517" s="181"/>
      <c r="G517" s="181"/>
      <c r="H517" s="181"/>
      <c r="I517" s="181"/>
    </row>
    <row r="518" spans="2:9" ht="21.95" customHeight="1">
      <c r="B518" s="548" t="s">
        <v>1448</v>
      </c>
      <c r="C518" s="548"/>
      <c r="D518" s="548"/>
      <c r="E518" s="548"/>
      <c r="F518" s="548"/>
      <c r="G518" s="548"/>
      <c r="H518" s="548"/>
      <c r="I518" s="548"/>
    </row>
    <row r="519" spans="2:9">
      <c r="B519" s="181"/>
      <c r="C519" s="181"/>
      <c r="D519" s="181"/>
      <c r="E519" s="181"/>
      <c r="F519" s="181"/>
      <c r="G519" s="181"/>
      <c r="H519" s="181"/>
      <c r="I519" s="181"/>
    </row>
    <row r="520" spans="2:9" ht="24" customHeight="1">
      <c r="B520" s="537" t="s">
        <v>1449</v>
      </c>
      <c r="C520" s="537"/>
      <c r="D520" s="537"/>
      <c r="E520" s="537"/>
      <c r="F520" s="537"/>
      <c r="G520" s="537"/>
      <c r="H520" s="182" t="s">
        <v>947</v>
      </c>
      <c r="I520" s="188" t="s">
        <v>1386</v>
      </c>
    </row>
    <row r="521" spans="2:9" ht="21" customHeight="1">
      <c r="B521" s="538" t="s">
        <v>1450</v>
      </c>
      <c r="C521" s="538"/>
      <c r="D521" s="538"/>
      <c r="E521" s="538"/>
      <c r="F521" s="538"/>
      <c r="G521" s="538"/>
      <c r="H521" s="538"/>
      <c r="I521" s="538"/>
    </row>
    <row r="522" spans="2:9" ht="21" customHeight="1">
      <c r="B522" s="538"/>
      <c r="C522" s="538"/>
      <c r="D522" s="538"/>
      <c r="E522" s="538"/>
      <c r="F522" s="538"/>
      <c r="G522" s="538"/>
      <c r="H522" s="538"/>
      <c r="I522" s="538"/>
    </row>
    <row r="523" spans="2:9">
      <c r="B523" s="181"/>
      <c r="C523" s="181"/>
      <c r="D523" s="181"/>
      <c r="E523" s="181"/>
      <c r="F523" s="181"/>
      <c r="G523" s="181"/>
      <c r="H523" s="181"/>
      <c r="I523" s="181"/>
    </row>
    <row r="524" spans="2:9" ht="15">
      <c r="B524" s="183" t="s">
        <v>24</v>
      </c>
      <c r="C524" s="184" t="s">
        <v>1451</v>
      </c>
      <c r="D524" s="185" t="s">
        <v>1441</v>
      </c>
      <c r="E524" s="181"/>
      <c r="F524" s="181"/>
      <c r="G524" s="181"/>
      <c r="H524" s="181"/>
      <c r="I524" s="181"/>
    </row>
    <row r="525" spans="2:9">
      <c r="B525" s="336" t="s">
        <v>1452</v>
      </c>
      <c r="C525" s="337" t="s">
        <v>1453</v>
      </c>
      <c r="D525" s="341">
        <v>24.9</v>
      </c>
      <c r="E525" s="331"/>
      <c r="F525" s="181"/>
      <c r="G525" s="181"/>
      <c r="H525" s="181"/>
      <c r="I525" s="181"/>
    </row>
    <row r="526" spans="2:9">
      <c r="B526" s="336" t="s">
        <v>1452</v>
      </c>
      <c r="C526" s="337" t="s">
        <v>1454</v>
      </c>
      <c r="D526" s="341">
        <v>19.899999999999999</v>
      </c>
      <c r="E526" s="331"/>
      <c r="F526" s="181"/>
      <c r="G526" s="181"/>
      <c r="H526" s="181"/>
      <c r="I526" s="181"/>
    </row>
    <row r="527" spans="2:9">
      <c r="B527" s="336" t="s">
        <v>1455</v>
      </c>
      <c r="C527" s="337" t="s">
        <v>1453</v>
      </c>
      <c r="D527" s="341">
        <v>44.9</v>
      </c>
      <c r="E527" s="331"/>
      <c r="F527" s="181"/>
      <c r="G527" s="181"/>
      <c r="H527" s="181"/>
      <c r="I527" s="181"/>
    </row>
    <row r="528" spans="2:9">
      <c r="B528" s="336" t="s">
        <v>1455</v>
      </c>
      <c r="C528" s="337" t="s">
        <v>1456</v>
      </c>
      <c r="D528" s="341">
        <v>29.9</v>
      </c>
      <c r="E528" s="331"/>
      <c r="F528" s="181"/>
      <c r="G528" s="181"/>
      <c r="H528" s="181"/>
      <c r="I528" s="181"/>
    </row>
    <row r="529" spans="2:9">
      <c r="B529" s="336" t="s">
        <v>1457</v>
      </c>
      <c r="C529" s="337" t="s">
        <v>1453</v>
      </c>
      <c r="D529" s="341">
        <v>89.9</v>
      </c>
      <c r="E529" s="331"/>
      <c r="F529" s="181"/>
      <c r="G529" s="181"/>
      <c r="H529" s="181"/>
      <c r="I529" s="181"/>
    </row>
    <row r="530" spans="2:9">
      <c r="B530" s="336" t="s">
        <v>1457</v>
      </c>
      <c r="C530" s="337" t="s">
        <v>1454</v>
      </c>
      <c r="D530" s="341">
        <v>84.9</v>
      </c>
      <c r="E530" s="331"/>
      <c r="F530" s="181"/>
      <c r="G530" s="181"/>
      <c r="H530" s="181"/>
      <c r="I530" s="181"/>
    </row>
    <row r="531" spans="2:9">
      <c r="B531" s="181"/>
      <c r="C531" s="181"/>
      <c r="D531" s="181"/>
      <c r="E531" s="181"/>
      <c r="F531" s="181"/>
      <c r="G531" s="181"/>
      <c r="H531" s="181"/>
      <c r="I531" s="181"/>
    </row>
    <row r="532" spans="2:9" ht="15">
      <c r="B532" s="181"/>
      <c r="C532" s="181"/>
      <c r="D532" s="181"/>
      <c r="E532" s="181"/>
      <c r="F532" s="181"/>
      <c r="G532" s="171" t="s">
        <v>24</v>
      </c>
      <c r="H532" s="186" t="s">
        <v>1455</v>
      </c>
      <c r="I532" s="181"/>
    </row>
    <row r="533" spans="2:9" ht="15">
      <c r="B533" s="181"/>
      <c r="C533" s="181"/>
      <c r="D533" s="181"/>
      <c r="E533" s="181"/>
      <c r="F533" s="181"/>
      <c r="G533" s="171" t="s">
        <v>1451</v>
      </c>
      <c r="H533" s="186" t="s">
        <v>1453</v>
      </c>
      <c r="I533" s="181"/>
    </row>
    <row r="534" spans="2:9">
      <c r="B534" s="181"/>
      <c r="C534" s="181"/>
      <c r="D534" s="181"/>
      <c r="E534" s="181"/>
      <c r="F534" s="181"/>
      <c r="G534" s="181"/>
      <c r="H534" s="181"/>
      <c r="I534" s="181"/>
    </row>
    <row r="535" spans="2:9" ht="15">
      <c r="B535" s="345" t="s">
        <v>927</v>
      </c>
      <c r="C535" s="549"/>
      <c r="D535" s="550"/>
      <c r="E535" s="550"/>
      <c r="F535" s="551"/>
      <c r="G535" s="181"/>
      <c r="H535" s="181"/>
      <c r="I535" s="181"/>
    </row>
    <row r="536" spans="2:9">
      <c r="B536" s="181"/>
      <c r="C536" s="181"/>
      <c r="D536" s="181"/>
      <c r="E536" s="181"/>
      <c r="F536" s="181"/>
      <c r="G536" s="181"/>
      <c r="H536" s="181"/>
      <c r="I536" s="181"/>
    </row>
    <row r="537" spans="2:9" ht="15">
      <c r="B537" s="181"/>
      <c r="C537" s="181"/>
      <c r="D537" s="181"/>
      <c r="E537" s="181"/>
      <c r="F537" s="181"/>
      <c r="G537" s="181"/>
      <c r="H537" s="195" t="s">
        <v>909</v>
      </c>
      <c r="I537" s="196" t="str">
        <f>IF(COUNTA(C535)&lt;1,"À faire",IFERROR(IF(ABS(C535-44.9)&lt;0.0001,"✓ Correct","À revoir"),"À revoir"))</f>
        <v>À faire</v>
      </c>
    </row>
    <row r="538" spans="2:9">
      <c r="B538" s="181"/>
      <c r="C538" s="181"/>
      <c r="D538" s="181"/>
      <c r="E538" s="181"/>
      <c r="F538" s="181"/>
      <c r="G538" s="181"/>
      <c r="H538" s="181"/>
      <c r="I538" s="181"/>
    </row>
    <row r="539" spans="2:9">
      <c r="B539" s="181"/>
      <c r="C539" s="181"/>
      <c r="D539" s="181"/>
      <c r="E539" s="181"/>
      <c r="F539" s="181"/>
      <c r="G539" s="181"/>
      <c r="H539" s="181"/>
      <c r="I539" s="181"/>
    </row>
    <row r="540" spans="2:9" ht="24" customHeight="1">
      <c r="B540" s="537" t="s">
        <v>1458</v>
      </c>
      <c r="C540" s="537"/>
      <c r="D540" s="537"/>
      <c r="E540" s="537"/>
      <c r="F540" s="537"/>
      <c r="G540" s="537"/>
      <c r="H540" s="182" t="s">
        <v>930</v>
      </c>
      <c r="I540" s="188" t="s">
        <v>1386</v>
      </c>
    </row>
    <row r="541" spans="2:9" ht="21" customHeight="1">
      <c r="B541" s="538" t="s">
        <v>1459</v>
      </c>
      <c r="C541" s="538"/>
      <c r="D541" s="538"/>
      <c r="E541" s="538"/>
      <c r="F541" s="538"/>
      <c r="G541" s="538"/>
      <c r="H541" s="538"/>
      <c r="I541" s="538"/>
    </row>
    <row r="542" spans="2:9" ht="21" customHeight="1">
      <c r="B542" s="538"/>
      <c r="C542" s="538"/>
      <c r="D542" s="538"/>
      <c r="E542" s="538"/>
      <c r="F542" s="538"/>
      <c r="G542" s="538"/>
      <c r="H542" s="538"/>
      <c r="I542" s="538"/>
    </row>
    <row r="543" spans="2:9">
      <c r="B543" s="181"/>
      <c r="C543" s="181"/>
      <c r="D543" s="181"/>
      <c r="E543" s="181"/>
      <c r="F543" s="181"/>
      <c r="G543" s="181"/>
      <c r="H543" s="181"/>
      <c r="I543" s="181"/>
    </row>
    <row r="544" spans="2:9" ht="15">
      <c r="B544" s="183" t="s">
        <v>24</v>
      </c>
      <c r="C544" s="184" t="s">
        <v>1451</v>
      </c>
      <c r="D544" s="184" t="s">
        <v>1441</v>
      </c>
      <c r="E544" s="185" t="s">
        <v>1460</v>
      </c>
      <c r="F544" s="181"/>
      <c r="G544" s="181"/>
      <c r="H544" s="181"/>
      <c r="I544" s="181"/>
    </row>
    <row r="545" spans="2:9">
      <c r="B545" s="336" t="s">
        <v>1452</v>
      </c>
      <c r="C545" s="337" t="s">
        <v>1453</v>
      </c>
      <c r="D545" s="338">
        <v>24.9</v>
      </c>
      <c r="E545" s="347"/>
      <c r="F545" s="181"/>
      <c r="G545" s="181"/>
      <c r="H545" s="181"/>
      <c r="I545" s="181"/>
    </row>
    <row r="546" spans="2:9">
      <c r="B546" s="336" t="s">
        <v>1452</v>
      </c>
      <c r="C546" s="337" t="s">
        <v>1454</v>
      </c>
      <c r="D546" s="338">
        <v>19.899999999999999</v>
      </c>
      <c r="E546" s="347"/>
      <c r="F546" s="181"/>
      <c r="G546" s="181"/>
      <c r="H546" s="181"/>
      <c r="I546" s="181"/>
    </row>
    <row r="547" spans="2:9">
      <c r="B547" s="336" t="s">
        <v>1455</v>
      </c>
      <c r="C547" s="337" t="s">
        <v>1453</v>
      </c>
      <c r="D547" s="338">
        <v>44.9</v>
      </c>
      <c r="E547" s="347"/>
      <c r="F547" s="181"/>
      <c r="G547" s="181"/>
      <c r="H547" s="181"/>
      <c r="I547" s="181"/>
    </row>
    <row r="548" spans="2:9">
      <c r="B548" s="336" t="s">
        <v>1455</v>
      </c>
      <c r="C548" s="337" t="s">
        <v>1456</v>
      </c>
      <c r="D548" s="338">
        <v>29.9</v>
      </c>
      <c r="E548" s="347"/>
      <c r="F548" s="181"/>
      <c r="G548" s="181"/>
      <c r="H548" s="181"/>
      <c r="I548" s="181"/>
    </row>
    <row r="549" spans="2:9">
      <c r="B549" s="336" t="s">
        <v>1457</v>
      </c>
      <c r="C549" s="337" t="s">
        <v>1453</v>
      </c>
      <c r="D549" s="338">
        <v>89.9</v>
      </c>
      <c r="E549" s="347"/>
      <c r="F549" s="181"/>
      <c r="G549" s="181"/>
      <c r="H549" s="181"/>
      <c r="I549" s="181"/>
    </row>
    <row r="550" spans="2:9">
      <c r="B550" s="336" t="s">
        <v>1457</v>
      </c>
      <c r="C550" s="337" t="s">
        <v>1454</v>
      </c>
      <c r="D550" s="338">
        <v>84.9</v>
      </c>
      <c r="E550" s="347"/>
      <c r="F550" s="181"/>
      <c r="G550" s="181"/>
      <c r="H550" s="181"/>
      <c r="I550" s="181"/>
    </row>
    <row r="551" spans="2:9">
      <c r="B551" s="181"/>
      <c r="C551" s="181"/>
      <c r="D551" s="181"/>
      <c r="E551" s="181"/>
      <c r="F551" s="181"/>
      <c r="G551" s="181"/>
      <c r="H551" s="181"/>
      <c r="I551" s="181"/>
    </row>
    <row r="552" spans="2:9" ht="15">
      <c r="B552" s="181"/>
      <c r="C552" s="181"/>
      <c r="D552" s="181"/>
      <c r="E552" s="181"/>
      <c r="F552" s="181"/>
      <c r="G552" s="171" t="s">
        <v>24</v>
      </c>
      <c r="H552" s="186" t="s">
        <v>1457</v>
      </c>
      <c r="I552" s="181"/>
    </row>
    <row r="553" spans="2:9" ht="15">
      <c r="B553" s="181"/>
      <c r="C553" s="181"/>
      <c r="D553" s="181"/>
      <c r="E553" s="181"/>
      <c r="F553" s="181"/>
      <c r="G553" s="171" t="s">
        <v>1451</v>
      </c>
      <c r="H553" s="186" t="s">
        <v>1454</v>
      </c>
      <c r="I553" s="181"/>
    </row>
    <row r="554" spans="2:9">
      <c r="B554" s="181"/>
      <c r="C554" s="181"/>
      <c r="D554" s="181"/>
      <c r="E554" s="181"/>
      <c r="F554" s="181"/>
      <c r="G554" s="181"/>
      <c r="H554" s="181"/>
      <c r="I554" s="181"/>
    </row>
    <row r="555" spans="2:9" ht="15">
      <c r="B555" s="345" t="s">
        <v>927</v>
      </c>
      <c r="C555" s="549"/>
      <c r="D555" s="550"/>
      <c r="E555" s="550"/>
      <c r="F555" s="551"/>
      <c r="G555" s="181"/>
      <c r="H555" s="181"/>
      <c r="I555" s="181"/>
    </row>
    <row r="556" spans="2:9">
      <c r="B556" s="181"/>
      <c r="C556" s="181"/>
      <c r="D556" s="181"/>
      <c r="E556" s="181"/>
      <c r="F556" s="181"/>
      <c r="G556" s="181"/>
      <c r="H556" s="181"/>
      <c r="I556" s="181"/>
    </row>
    <row r="557" spans="2:9" ht="15">
      <c r="B557" s="181"/>
      <c r="C557" s="181"/>
      <c r="D557" s="181"/>
      <c r="E557" s="181"/>
      <c r="F557" s="181"/>
      <c r="G557" s="181"/>
      <c r="H557" s="195" t="s">
        <v>909</v>
      </c>
      <c r="I557" s="196" t="str">
        <f>IF(COUNTA(E545:E550)&lt;6,"À faire",IFERROR(IF(AND(E545="Adaptateur|USB-C",E546="Adaptateur|HDMI",E547="Hub|USB-C",E548="Hub|USB-A",E549="Station|USB-C",E550="Station|HDMI",ABS(C555-84.9)&lt;0.0001),"✓ Correct","À revoir"),"À revoir"))</f>
        <v>À faire</v>
      </c>
    </row>
    <row r="558" spans="2:9">
      <c r="B558" s="181"/>
      <c r="C558" s="181"/>
      <c r="D558" s="181"/>
      <c r="E558" s="181"/>
      <c r="F558" s="181"/>
      <c r="G558" s="181"/>
      <c r="H558" s="181"/>
      <c r="I558" s="181"/>
    </row>
    <row r="559" spans="2:9">
      <c r="B559" s="181"/>
      <c r="C559" s="181"/>
      <c r="D559" s="181"/>
      <c r="E559" s="181"/>
      <c r="F559" s="181"/>
      <c r="G559" s="181"/>
      <c r="H559" s="181"/>
      <c r="I559" s="181"/>
    </row>
    <row r="560" spans="2:9" ht="21.95" customHeight="1">
      <c r="B560" s="548" t="s">
        <v>1461</v>
      </c>
      <c r="C560" s="548"/>
      <c r="D560" s="548"/>
      <c r="E560" s="548"/>
      <c r="F560" s="548"/>
      <c r="G560" s="548"/>
      <c r="H560" s="548"/>
      <c r="I560" s="548"/>
    </row>
    <row r="561" spans="2:9">
      <c r="B561" s="181"/>
      <c r="C561" s="181"/>
      <c r="D561" s="181"/>
      <c r="E561" s="181"/>
      <c r="F561" s="181"/>
      <c r="G561" s="181"/>
      <c r="H561" s="181"/>
      <c r="I561" s="181"/>
    </row>
    <row r="562" spans="2:9" ht="24" customHeight="1">
      <c r="B562" s="537" t="s">
        <v>1462</v>
      </c>
      <c r="C562" s="537"/>
      <c r="D562" s="537"/>
      <c r="E562" s="537"/>
      <c r="F562" s="537"/>
      <c r="G562" s="537"/>
      <c r="H562" s="182" t="s">
        <v>930</v>
      </c>
      <c r="I562" s="188" t="s">
        <v>1386</v>
      </c>
    </row>
    <row r="563" spans="2:9" ht="21" customHeight="1">
      <c r="B563" s="538" t="s">
        <v>1463</v>
      </c>
      <c r="C563" s="538"/>
      <c r="D563" s="538"/>
      <c r="E563" s="538"/>
      <c r="F563" s="538"/>
      <c r="G563" s="538"/>
      <c r="H563" s="538"/>
      <c r="I563" s="538"/>
    </row>
    <row r="564" spans="2:9" ht="21" customHeight="1">
      <c r="B564" s="538"/>
      <c r="C564" s="538"/>
      <c r="D564" s="538"/>
      <c r="E564" s="538"/>
      <c r="F564" s="538"/>
      <c r="G564" s="538"/>
      <c r="H564" s="538"/>
      <c r="I564" s="538"/>
    </row>
    <row r="565" spans="2:9">
      <c r="B565" s="181"/>
      <c r="C565" s="181"/>
      <c r="D565" s="181"/>
      <c r="E565" s="181"/>
      <c r="F565" s="181"/>
      <c r="G565" s="181"/>
      <c r="H565" s="181"/>
      <c r="I565" s="181"/>
    </row>
    <row r="566" spans="2:9" ht="15">
      <c r="B566" s="183" t="s">
        <v>1309</v>
      </c>
      <c r="C566" s="184" t="s">
        <v>1310</v>
      </c>
      <c r="D566" s="184" t="s">
        <v>1311</v>
      </c>
      <c r="E566" s="184" t="s">
        <v>933</v>
      </c>
      <c r="F566" s="185" t="s">
        <v>1312</v>
      </c>
      <c r="G566" s="181"/>
      <c r="H566" s="181"/>
      <c r="I566" s="181"/>
    </row>
    <row r="567" spans="2:9">
      <c r="B567" s="336" t="s">
        <v>1313</v>
      </c>
      <c r="C567" s="337" t="s">
        <v>1314</v>
      </c>
      <c r="D567" s="337" t="s">
        <v>1315</v>
      </c>
      <c r="E567" s="338">
        <v>24.9</v>
      </c>
      <c r="F567" s="339">
        <v>12</v>
      </c>
      <c r="G567" s="331"/>
      <c r="H567" s="181"/>
      <c r="I567" s="181"/>
    </row>
    <row r="568" spans="2:9">
      <c r="B568" s="336" t="s">
        <v>1316</v>
      </c>
      <c r="C568" s="337" t="s">
        <v>1317</v>
      </c>
      <c r="D568" s="337" t="s">
        <v>1315</v>
      </c>
      <c r="E568" s="338">
        <v>19.899999999999999</v>
      </c>
      <c r="F568" s="339">
        <v>8</v>
      </c>
      <c r="G568" s="331"/>
      <c r="H568" s="181"/>
      <c r="I568" s="181"/>
    </row>
    <row r="569" spans="2:9">
      <c r="B569" s="336" t="s">
        <v>1318</v>
      </c>
      <c r="C569" s="337" t="s">
        <v>1319</v>
      </c>
      <c r="D569" s="337" t="s">
        <v>1320</v>
      </c>
      <c r="E569" s="338">
        <v>34.5</v>
      </c>
      <c r="F569" s="339">
        <v>15</v>
      </c>
      <c r="G569" s="331"/>
      <c r="H569" s="181"/>
      <c r="I569" s="181"/>
    </row>
    <row r="570" spans="2:9">
      <c r="B570" s="336" t="s">
        <v>1321</v>
      </c>
      <c r="C570" s="337" t="s">
        <v>1322</v>
      </c>
      <c r="D570" s="337" t="s">
        <v>1323</v>
      </c>
      <c r="E570" s="338">
        <v>39.9</v>
      </c>
      <c r="F570" s="339">
        <v>7</v>
      </c>
      <c r="G570" s="331"/>
      <c r="H570" s="181"/>
      <c r="I570" s="181"/>
    </row>
    <row r="571" spans="2:9">
      <c r="B571" s="336" t="s">
        <v>1324</v>
      </c>
      <c r="C571" s="337" t="s">
        <v>1325</v>
      </c>
      <c r="D571" s="337" t="s">
        <v>1326</v>
      </c>
      <c r="E571" s="338">
        <v>29.9</v>
      </c>
      <c r="F571" s="339">
        <v>20</v>
      </c>
      <c r="G571" s="331"/>
      <c r="H571" s="181"/>
      <c r="I571" s="181"/>
    </row>
    <row r="572" spans="2:9">
      <c r="B572" s="336" t="s">
        <v>1327</v>
      </c>
      <c r="C572" s="337" t="s">
        <v>1328</v>
      </c>
      <c r="D572" s="337" t="s">
        <v>1329</v>
      </c>
      <c r="E572" s="338">
        <v>44.9</v>
      </c>
      <c r="F572" s="339">
        <v>9</v>
      </c>
      <c r="G572" s="331"/>
      <c r="H572" s="181"/>
      <c r="I572" s="181"/>
    </row>
    <row r="573" spans="2:9">
      <c r="B573" s="181"/>
      <c r="C573" s="181"/>
      <c r="D573" s="181"/>
      <c r="E573" s="181"/>
      <c r="F573" s="181"/>
      <c r="G573" s="181"/>
      <c r="H573" s="181"/>
      <c r="I573" s="181"/>
    </row>
    <row r="574" spans="2:9" ht="15">
      <c r="B574" s="181"/>
      <c r="C574" s="181"/>
      <c r="D574" s="181"/>
      <c r="E574" s="181"/>
      <c r="F574" s="181"/>
      <c r="G574" s="181"/>
      <c r="H574" s="171" t="s">
        <v>1330</v>
      </c>
      <c r="I574" s="186" t="s">
        <v>1324</v>
      </c>
    </row>
    <row r="575" spans="2:9">
      <c r="B575" s="181"/>
      <c r="C575" s="181"/>
      <c r="D575" s="181"/>
      <c r="E575" s="181"/>
      <c r="F575" s="181"/>
      <c r="G575" s="181"/>
      <c r="H575" s="181"/>
      <c r="I575" s="181"/>
    </row>
    <row r="576" spans="2:9" ht="15">
      <c r="B576" s="187" t="s">
        <v>1464</v>
      </c>
      <c r="C576" s="187" t="s">
        <v>927</v>
      </c>
      <c r="D576" s="181"/>
      <c r="E576" s="181"/>
      <c r="F576" s="181"/>
      <c r="G576" s="181"/>
      <c r="H576" s="181"/>
      <c r="I576" s="181"/>
    </row>
    <row r="577" spans="2:9" ht="15">
      <c r="B577" s="344" t="s">
        <v>411</v>
      </c>
      <c r="C577" s="539"/>
      <c r="D577" s="540"/>
      <c r="E577" s="540"/>
      <c r="F577" s="541"/>
      <c r="G577" s="181"/>
      <c r="H577" s="181"/>
      <c r="I577" s="181"/>
    </row>
    <row r="578" spans="2:9" ht="15">
      <c r="B578" s="344" t="s">
        <v>425</v>
      </c>
      <c r="C578" s="539"/>
      <c r="D578" s="540"/>
      <c r="E578" s="540"/>
      <c r="F578" s="541"/>
      <c r="G578" s="181"/>
      <c r="H578" s="181"/>
      <c r="I578" s="181"/>
    </row>
    <row r="579" spans="2:9" ht="15">
      <c r="B579" s="344" t="s">
        <v>429</v>
      </c>
      <c r="C579" s="539"/>
      <c r="D579" s="540"/>
      <c r="E579" s="540"/>
      <c r="F579" s="541"/>
      <c r="G579" s="181"/>
      <c r="H579" s="181"/>
      <c r="I579" s="181"/>
    </row>
    <row r="580" spans="2:9">
      <c r="B580" s="181"/>
      <c r="C580" s="181"/>
      <c r="D580" s="181"/>
      <c r="E580" s="181"/>
      <c r="F580" s="181"/>
      <c r="G580" s="181"/>
      <c r="H580" s="181"/>
      <c r="I580" s="181"/>
    </row>
    <row r="581" spans="2:9" ht="15">
      <c r="B581" s="181"/>
      <c r="C581" s="181"/>
      <c r="D581" s="181"/>
      <c r="E581" s="181"/>
      <c r="F581" s="181"/>
      <c r="G581" s="181"/>
      <c r="H581" s="195" t="s">
        <v>909</v>
      </c>
      <c r="I581" s="196" t="str">
        <f>IF(COUNTA(C577,C578,C579)&lt;3,"À faire",IFERROR(IF(AND(ABS(C577-29.9)&lt;0.0001,ABS(C578-29.9)&lt;0.0001,ABS(C579-29.9)&lt;0.0001),"✓ Correct","À revoir"),"À revoir"))</f>
        <v>À faire</v>
      </c>
    </row>
    <row r="582" spans="2:9">
      <c r="B582" s="181"/>
      <c r="C582" s="181"/>
      <c r="D582" s="181"/>
      <c r="E582" s="181"/>
      <c r="F582" s="181"/>
      <c r="G582" s="181"/>
      <c r="H582" s="181"/>
      <c r="I582" s="181"/>
    </row>
    <row r="583" spans="2:9">
      <c r="B583" s="181"/>
      <c r="C583" s="181"/>
      <c r="D583" s="181"/>
      <c r="E583" s="181"/>
      <c r="F583" s="181"/>
      <c r="G583" s="181"/>
      <c r="H583" s="181"/>
      <c r="I583" s="181"/>
    </row>
    <row r="584" spans="2:9" ht="21.95" customHeight="1">
      <c r="B584" s="548" t="s">
        <v>1465</v>
      </c>
      <c r="C584" s="548"/>
      <c r="D584" s="548"/>
      <c r="E584" s="548"/>
      <c r="F584" s="548"/>
      <c r="G584" s="548"/>
      <c r="H584" s="548"/>
      <c r="I584" s="548"/>
    </row>
    <row r="585" spans="2:9">
      <c r="B585" s="181"/>
      <c r="C585" s="181"/>
      <c r="D585" s="181"/>
      <c r="E585" s="181"/>
      <c r="F585" s="181"/>
      <c r="G585" s="181"/>
      <c r="H585" s="181"/>
      <c r="I585" s="181"/>
    </row>
    <row r="586" spans="2:9" ht="24" customHeight="1">
      <c r="B586" s="537" t="s">
        <v>1466</v>
      </c>
      <c r="C586" s="537"/>
      <c r="D586" s="537"/>
      <c r="E586" s="537"/>
      <c r="F586" s="537"/>
      <c r="G586" s="537"/>
      <c r="H586" s="182" t="s">
        <v>947</v>
      </c>
      <c r="I586" s="141" t="s">
        <v>902</v>
      </c>
    </row>
    <row r="587" spans="2:9" ht="21" customHeight="1">
      <c r="B587" s="538" t="s">
        <v>1467</v>
      </c>
      <c r="C587" s="538"/>
      <c r="D587" s="538"/>
      <c r="E587" s="538"/>
      <c r="F587" s="538"/>
      <c r="G587" s="538"/>
      <c r="H587" s="538"/>
      <c r="I587" s="538"/>
    </row>
    <row r="588" spans="2:9" ht="21" customHeight="1">
      <c r="B588" s="538"/>
      <c r="C588" s="538"/>
      <c r="D588" s="538"/>
      <c r="E588" s="538"/>
      <c r="F588" s="538"/>
      <c r="G588" s="538"/>
      <c r="H588" s="538"/>
      <c r="I588" s="538"/>
    </row>
    <row r="589" spans="2:9">
      <c r="B589" s="181"/>
      <c r="C589" s="181"/>
      <c r="D589" s="181"/>
      <c r="E589" s="181"/>
      <c r="F589" s="181"/>
      <c r="G589" s="181"/>
      <c r="H589" s="181"/>
      <c r="I589" s="181"/>
    </row>
    <row r="590" spans="2:9" ht="15">
      <c r="B590" s="183" t="s">
        <v>1309</v>
      </c>
      <c r="C590" s="184" t="s">
        <v>1310</v>
      </c>
      <c r="D590" s="184" t="s">
        <v>1311</v>
      </c>
      <c r="E590" s="184" t="s">
        <v>933</v>
      </c>
      <c r="F590" s="185" t="s">
        <v>1312</v>
      </c>
      <c r="G590" s="181"/>
      <c r="H590" s="181"/>
      <c r="I590" s="181"/>
    </row>
    <row r="591" spans="2:9">
      <c r="B591" s="336" t="s">
        <v>1313</v>
      </c>
      <c r="C591" s="337" t="s">
        <v>1314</v>
      </c>
      <c r="D591" s="337" t="s">
        <v>1315</v>
      </c>
      <c r="E591" s="338">
        <v>24.9</v>
      </c>
      <c r="F591" s="339">
        <v>12</v>
      </c>
      <c r="G591" s="331"/>
      <c r="H591" s="181"/>
      <c r="I591" s="181"/>
    </row>
    <row r="592" spans="2:9">
      <c r="B592" s="336" t="s">
        <v>1316</v>
      </c>
      <c r="C592" s="337" t="s">
        <v>1317</v>
      </c>
      <c r="D592" s="337" t="s">
        <v>1315</v>
      </c>
      <c r="E592" s="338">
        <v>19.899999999999999</v>
      </c>
      <c r="F592" s="339">
        <v>8</v>
      </c>
      <c r="G592" s="331"/>
      <c r="H592" s="181"/>
      <c r="I592" s="181"/>
    </row>
    <row r="593" spans="2:9">
      <c r="B593" s="336" t="s">
        <v>1318</v>
      </c>
      <c r="C593" s="337" t="s">
        <v>1319</v>
      </c>
      <c r="D593" s="337" t="s">
        <v>1320</v>
      </c>
      <c r="E593" s="338">
        <v>34.5</v>
      </c>
      <c r="F593" s="339">
        <v>15</v>
      </c>
      <c r="G593" s="331"/>
      <c r="H593" s="181"/>
      <c r="I593" s="181"/>
    </row>
    <row r="594" spans="2:9">
      <c r="B594" s="336" t="s">
        <v>1321</v>
      </c>
      <c r="C594" s="337" t="s">
        <v>1322</v>
      </c>
      <c r="D594" s="337" t="s">
        <v>1323</v>
      </c>
      <c r="E594" s="338">
        <v>39.9</v>
      </c>
      <c r="F594" s="339">
        <v>7</v>
      </c>
      <c r="G594" s="331"/>
      <c r="H594" s="181"/>
      <c r="I594" s="181"/>
    </row>
    <row r="595" spans="2:9">
      <c r="B595" s="336" t="s">
        <v>1324</v>
      </c>
      <c r="C595" s="337" t="s">
        <v>1325</v>
      </c>
      <c r="D595" s="337" t="s">
        <v>1326</v>
      </c>
      <c r="E595" s="338">
        <v>29.9</v>
      </c>
      <c r="F595" s="339">
        <v>20</v>
      </c>
      <c r="G595" s="331"/>
      <c r="H595" s="181"/>
      <c r="I595" s="181"/>
    </row>
    <row r="596" spans="2:9">
      <c r="B596" s="336" t="s">
        <v>1327</v>
      </c>
      <c r="C596" s="337" t="s">
        <v>1328</v>
      </c>
      <c r="D596" s="337" t="s">
        <v>1329</v>
      </c>
      <c r="E596" s="338">
        <v>44.9</v>
      </c>
      <c r="F596" s="339">
        <v>9</v>
      </c>
      <c r="G596" s="331"/>
      <c r="H596" s="181"/>
      <c r="I596" s="181"/>
    </row>
    <row r="597" spans="2:9">
      <c r="B597" s="181"/>
      <c r="C597" s="181"/>
      <c r="D597" s="181"/>
      <c r="E597" s="181"/>
      <c r="F597" s="181"/>
      <c r="G597" s="181"/>
      <c r="H597" s="181"/>
      <c r="I597" s="181"/>
    </row>
    <row r="598" spans="2:9">
      <c r="B598" s="181"/>
      <c r="C598" s="181"/>
      <c r="D598" s="181"/>
      <c r="E598" s="181"/>
      <c r="F598" s="181"/>
      <c r="G598" s="181"/>
      <c r="H598" s="181"/>
      <c r="I598" s="181"/>
    </row>
    <row r="599" spans="2:9" ht="15">
      <c r="B599" s="183" t="s">
        <v>1346</v>
      </c>
      <c r="C599" s="185" t="s">
        <v>1347</v>
      </c>
      <c r="D599" s="181"/>
      <c r="E599" s="181"/>
      <c r="F599" s="181"/>
      <c r="G599" s="181"/>
      <c r="H599" s="181"/>
      <c r="I599" s="181"/>
    </row>
    <row r="600" spans="2:9">
      <c r="B600" s="336">
        <v>0</v>
      </c>
      <c r="C600" s="340">
        <v>0</v>
      </c>
      <c r="D600" s="331"/>
      <c r="E600" s="181"/>
      <c r="F600" s="181"/>
      <c r="G600" s="181"/>
      <c r="H600" s="181"/>
      <c r="I600" s="181"/>
    </row>
    <row r="601" spans="2:9">
      <c r="B601" s="336">
        <v>10</v>
      </c>
      <c r="C601" s="340">
        <v>0.05</v>
      </c>
      <c r="D601" s="331"/>
      <c r="E601" s="181"/>
      <c r="F601" s="181"/>
      <c r="G601" s="181"/>
      <c r="H601" s="181"/>
      <c r="I601" s="181"/>
    </row>
    <row r="602" spans="2:9">
      <c r="B602" s="336">
        <v>25</v>
      </c>
      <c r="C602" s="340">
        <v>0.1</v>
      </c>
      <c r="D602" s="331"/>
      <c r="E602" s="181"/>
      <c r="F602" s="181"/>
      <c r="G602" s="181"/>
      <c r="H602" s="181"/>
      <c r="I602" s="181"/>
    </row>
    <row r="603" spans="2:9">
      <c r="B603" s="336">
        <v>50</v>
      </c>
      <c r="C603" s="340">
        <v>0.15</v>
      </c>
      <c r="D603" s="331"/>
      <c r="E603" s="181"/>
      <c r="F603" s="181"/>
      <c r="G603" s="181"/>
      <c r="H603" s="181"/>
      <c r="I603" s="181"/>
    </row>
    <row r="604" spans="2:9">
      <c r="B604" s="336">
        <v>100</v>
      </c>
      <c r="C604" s="340">
        <v>0.2</v>
      </c>
      <c r="D604" s="331"/>
      <c r="E604" s="181"/>
      <c r="F604" s="181"/>
      <c r="G604" s="181"/>
      <c r="H604" s="181"/>
      <c r="I604" s="181"/>
    </row>
    <row r="605" spans="2:9">
      <c r="B605" s="181"/>
      <c r="C605" s="181"/>
      <c r="D605" s="181"/>
      <c r="E605" s="181"/>
      <c r="F605" s="181"/>
      <c r="G605" s="181"/>
      <c r="H605" s="181"/>
      <c r="I605" s="181"/>
    </row>
    <row r="606" spans="2:9">
      <c r="B606" s="181"/>
      <c r="C606" s="181"/>
      <c r="D606" s="181"/>
      <c r="E606" s="181"/>
      <c r="F606" s="181"/>
      <c r="G606" s="181"/>
      <c r="H606" s="181"/>
      <c r="I606" s="181"/>
    </row>
    <row r="607" spans="2:9" ht="15">
      <c r="B607" s="187" t="s">
        <v>1035</v>
      </c>
      <c r="C607" s="187" t="s">
        <v>1468</v>
      </c>
      <c r="D607" s="181"/>
      <c r="E607" s="181"/>
      <c r="F607" s="181"/>
      <c r="G607" s="181"/>
      <c r="H607" s="181"/>
      <c r="I607" s="181"/>
    </row>
    <row r="608" spans="2:9">
      <c r="B608" s="343" t="s">
        <v>1469</v>
      </c>
      <c r="C608" s="539"/>
      <c r="D608" s="540"/>
      <c r="E608" s="540"/>
      <c r="F608" s="541"/>
      <c r="G608" s="181"/>
      <c r="H608" s="181"/>
      <c r="I608" s="181"/>
    </row>
    <row r="609" spans="2:9">
      <c r="B609" s="343" t="s">
        <v>1470</v>
      </c>
      <c r="C609" s="545"/>
      <c r="D609" s="546"/>
      <c r="E609" s="546"/>
      <c r="F609" s="547"/>
      <c r="G609" s="181"/>
      <c r="H609" s="181"/>
      <c r="I609" s="181"/>
    </row>
    <row r="610" spans="2:9">
      <c r="B610" s="343" t="s">
        <v>1471</v>
      </c>
      <c r="C610" s="542"/>
      <c r="D610" s="543"/>
      <c r="E610" s="543"/>
      <c r="F610" s="544"/>
      <c r="G610" s="181"/>
      <c r="H610" s="181"/>
      <c r="I610" s="181"/>
    </row>
    <row r="611" spans="2:9">
      <c r="B611" s="343" t="s">
        <v>1472</v>
      </c>
      <c r="C611" s="545"/>
      <c r="D611" s="546"/>
      <c r="E611" s="546"/>
      <c r="F611" s="547"/>
      <c r="G611" s="181"/>
      <c r="H611" s="181"/>
      <c r="I611" s="181"/>
    </row>
    <row r="612" spans="2:9">
      <c r="B612" s="181"/>
      <c r="C612" s="181"/>
      <c r="D612" s="181"/>
      <c r="E612" s="181"/>
      <c r="F612" s="181"/>
      <c r="G612" s="181"/>
      <c r="H612" s="181"/>
      <c r="I612" s="181"/>
    </row>
    <row r="613" spans="2:9" ht="15">
      <c r="B613" s="181"/>
      <c r="C613" s="181"/>
      <c r="D613" s="181"/>
      <c r="E613" s="181"/>
      <c r="F613" s="181"/>
      <c r="G613" s="181"/>
      <c r="H613" s="195" t="s">
        <v>909</v>
      </c>
      <c r="I613" s="196" t="str">
        <f>IF(COUNTA(C608,C609,C610,C611)&lt;4,"À faire",IFERROR(IF(AND(ABS(C608-19.9)&lt;0.0001,C609="P-103",ABS(C610-0.1)&lt;0.0001,C611="Code inconnu"),"✓ Correct","À revoir"),"À revoir"))</f>
        <v>À faire</v>
      </c>
    </row>
  </sheetData>
  <sheetProtection sheet="1" objects="1" scenarios="1" autoFilter="0"/>
  <mergeCells count="102">
    <mergeCell ref="B49:I50"/>
    <mergeCell ref="B68:I68"/>
    <mergeCell ref="B70:G70"/>
    <mergeCell ref="B71:I72"/>
    <mergeCell ref="B24:I24"/>
    <mergeCell ref="B26:I26"/>
    <mergeCell ref="B28:G28"/>
    <mergeCell ref="B29:I30"/>
    <mergeCell ref="B48:G48"/>
    <mergeCell ref="B182:I183"/>
    <mergeCell ref="C190:F190"/>
    <mergeCell ref="B195:I195"/>
    <mergeCell ref="B197:G197"/>
    <mergeCell ref="B295:I296"/>
    <mergeCell ref="B83:G83"/>
    <mergeCell ref="B161:G161"/>
    <mergeCell ref="B162:I163"/>
    <mergeCell ref="C174:F174"/>
    <mergeCell ref="B179:I179"/>
    <mergeCell ref="B181:G181"/>
    <mergeCell ref="B122:G122"/>
    <mergeCell ref="B123:I124"/>
    <mergeCell ref="B142:G142"/>
    <mergeCell ref="B143:I144"/>
    <mergeCell ref="C156:F156"/>
    <mergeCell ref="B84:I85"/>
    <mergeCell ref="B101:I101"/>
    <mergeCell ref="B103:G103"/>
    <mergeCell ref="B104:I105"/>
    <mergeCell ref="C117:F117"/>
    <mergeCell ref="C308:F308"/>
    <mergeCell ref="B311:I311"/>
    <mergeCell ref="B198:I199"/>
    <mergeCell ref="C268:F268"/>
    <mergeCell ref="B273:I273"/>
    <mergeCell ref="B275:G275"/>
    <mergeCell ref="B276:I277"/>
    <mergeCell ref="C289:F289"/>
    <mergeCell ref="B237:G237"/>
    <mergeCell ref="B238:I239"/>
    <mergeCell ref="C251:F251"/>
    <mergeCell ref="B256:G256"/>
    <mergeCell ref="B257:I258"/>
    <mergeCell ref="C211:F211"/>
    <mergeCell ref="B216:G216"/>
    <mergeCell ref="B294:G294"/>
    <mergeCell ref="B217:I218"/>
    <mergeCell ref="C230:F230"/>
    <mergeCell ref="B235:I235"/>
    <mergeCell ref="B406:I407"/>
    <mergeCell ref="C419:F419"/>
    <mergeCell ref="B424:G424"/>
    <mergeCell ref="B425:I426"/>
    <mergeCell ref="B313:G313"/>
    <mergeCell ref="C382:F382"/>
    <mergeCell ref="B387:G387"/>
    <mergeCell ref="B388:I389"/>
    <mergeCell ref="C400:F400"/>
    <mergeCell ref="B405:G405"/>
    <mergeCell ref="B351:G351"/>
    <mergeCell ref="B352:I353"/>
    <mergeCell ref="C364:F364"/>
    <mergeCell ref="B369:G369"/>
    <mergeCell ref="B370:I371"/>
    <mergeCell ref="B314:I315"/>
    <mergeCell ref="C327:F327"/>
    <mergeCell ref="B332:G332"/>
    <mergeCell ref="B333:I334"/>
    <mergeCell ref="C346:F346"/>
    <mergeCell ref="B540:G540"/>
    <mergeCell ref="B541:I542"/>
    <mergeCell ref="C555:F555"/>
    <mergeCell ref="C438:F438"/>
    <mergeCell ref="B560:I560"/>
    <mergeCell ref="B443:G443"/>
    <mergeCell ref="B444:I445"/>
    <mergeCell ref="B463:I463"/>
    <mergeCell ref="B465:G465"/>
    <mergeCell ref="B466:I467"/>
    <mergeCell ref="C478:F478"/>
    <mergeCell ref="B483:G483"/>
    <mergeCell ref="B484:I485"/>
    <mergeCell ref="C496:F496"/>
    <mergeCell ref="B501:G501"/>
    <mergeCell ref="B502:I503"/>
    <mergeCell ref="C535:F535"/>
    <mergeCell ref="C513:F513"/>
    <mergeCell ref="B518:I518"/>
    <mergeCell ref="B520:G520"/>
    <mergeCell ref="B521:I522"/>
    <mergeCell ref="B562:G562"/>
    <mergeCell ref="B563:I564"/>
    <mergeCell ref="C577:F577"/>
    <mergeCell ref="C578:F578"/>
    <mergeCell ref="C579:F579"/>
    <mergeCell ref="C610:F610"/>
    <mergeCell ref="C611:F611"/>
    <mergeCell ref="B584:I584"/>
    <mergeCell ref="B586:G586"/>
    <mergeCell ref="B587:I588"/>
    <mergeCell ref="C608:F608"/>
    <mergeCell ref="C609:F609"/>
  </mergeCells>
  <conditionalFormatting sqref="I45">
    <cfRule type="expression" dxfId="404" priority="1">
      <formula>I45="✓ Correct"</formula>
    </cfRule>
    <cfRule type="expression" dxfId="403" priority="2">
      <formula>I45="À revoir"</formula>
    </cfRule>
    <cfRule type="expression" dxfId="402" priority="3">
      <formula>I45="À faire"</formula>
    </cfRule>
  </conditionalFormatting>
  <conditionalFormatting sqref="I65">
    <cfRule type="expression" dxfId="401" priority="4">
      <formula>I65="✓ Correct"</formula>
    </cfRule>
    <cfRule type="expression" dxfId="400" priority="5">
      <formula>I65="À revoir"</formula>
    </cfRule>
    <cfRule type="expression" dxfId="399" priority="6">
      <formula>I65="À faire"</formula>
    </cfRule>
  </conditionalFormatting>
  <conditionalFormatting sqref="I80">
    <cfRule type="expression" dxfId="398" priority="7">
      <formula>I80="✓ Correct"</formula>
    </cfRule>
    <cfRule type="expression" dxfId="397" priority="8">
      <formula>I80="À revoir"</formula>
    </cfRule>
    <cfRule type="expression" dxfId="396" priority="9">
      <formula>I80="À faire"</formula>
    </cfRule>
  </conditionalFormatting>
  <conditionalFormatting sqref="I98">
    <cfRule type="expression" dxfId="395" priority="10">
      <formula>I98="✓ Correct"</formula>
    </cfRule>
    <cfRule type="expression" dxfId="394" priority="11">
      <formula>I98="À revoir"</formula>
    </cfRule>
    <cfRule type="expression" dxfId="393" priority="12">
      <formula>I98="À faire"</formula>
    </cfRule>
  </conditionalFormatting>
  <conditionalFormatting sqref="I119">
    <cfRule type="expression" dxfId="392" priority="13">
      <formula>I119="✓ Correct"</formula>
    </cfRule>
    <cfRule type="expression" dxfId="391" priority="14">
      <formula>I119="À revoir"</formula>
    </cfRule>
    <cfRule type="expression" dxfId="390" priority="15">
      <formula>I119="À faire"</formula>
    </cfRule>
  </conditionalFormatting>
  <conditionalFormatting sqref="I139">
    <cfRule type="expression" dxfId="389" priority="16">
      <formula>I139="✓ Correct"</formula>
    </cfRule>
    <cfRule type="expression" dxfId="388" priority="17">
      <formula>I139="À revoir"</formula>
    </cfRule>
    <cfRule type="expression" dxfId="387" priority="18">
      <formula>I139="À faire"</formula>
    </cfRule>
  </conditionalFormatting>
  <conditionalFormatting sqref="I158">
    <cfRule type="expression" dxfId="386" priority="19">
      <formula>I158="✓ Correct"</formula>
    </cfRule>
    <cfRule type="expression" dxfId="385" priority="20">
      <formula>I158="À revoir"</formula>
    </cfRule>
    <cfRule type="expression" dxfId="384" priority="21">
      <formula>I158="À faire"</formula>
    </cfRule>
  </conditionalFormatting>
  <conditionalFormatting sqref="I176">
    <cfRule type="expression" dxfId="383" priority="22">
      <formula>I176="✓ Correct"</formula>
    </cfRule>
    <cfRule type="expression" dxfId="382" priority="23">
      <formula>I176="À revoir"</formula>
    </cfRule>
    <cfRule type="expression" dxfId="381" priority="24">
      <formula>I176="À faire"</formula>
    </cfRule>
  </conditionalFormatting>
  <conditionalFormatting sqref="I192">
    <cfRule type="expression" dxfId="380" priority="25">
      <formula>I192="✓ Correct"</formula>
    </cfRule>
    <cfRule type="expression" dxfId="379" priority="26">
      <formula>I192="À revoir"</formula>
    </cfRule>
    <cfRule type="expression" dxfId="378" priority="27">
      <formula>I192="À faire"</formula>
    </cfRule>
  </conditionalFormatting>
  <conditionalFormatting sqref="I213">
    <cfRule type="expression" dxfId="377" priority="28">
      <formula>I213="✓ Correct"</formula>
    </cfRule>
    <cfRule type="expression" dxfId="376" priority="29">
      <formula>I213="À revoir"</formula>
    </cfRule>
    <cfRule type="expression" dxfId="375" priority="30">
      <formula>I213="À faire"</formula>
    </cfRule>
  </conditionalFormatting>
  <conditionalFormatting sqref="I232">
    <cfRule type="expression" dxfId="374" priority="31">
      <formula>I232="✓ Correct"</formula>
    </cfRule>
    <cfRule type="expression" dxfId="373" priority="32">
      <formula>I232="À revoir"</formula>
    </cfRule>
    <cfRule type="expression" dxfId="372" priority="33">
      <formula>I232="À faire"</formula>
    </cfRule>
  </conditionalFormatting>
  <conditionalFormatting sqref="I253">
    <cfRule type="expression" dxfId="371" priority="34">
      <formula>I253="✓ Correct"</formula>
    </cfRule>
    <cfRule type="expression" dxfId="370" priority="35">
      <formula>I253="À revoir"</formula>
    </cfRule>
    <cfRule type="expression" dxfId="369" priority="36">
      <formula>I253="À faire"</formula>
    </cfRule>
  </conditionalFormatting>
  <conditionalFormatting sqref="I270">
    <cfRule type="expression" dxfId="368" priority="37">
      <formula>I270="✓ Correct"</formula>
    </cfRule>
    <cfRule type="expression" dxfId="367" priority="38">
      <formula>I270="À revoir"</formula>
    </cfRule>
    <cfRule type="expression" dxfId="366" priority="39">
      <formula>I270="À faire"</formula>
    </cfRule>
  </conditionalFormatting>
  <conditionalFormatting sqref="I291">
    <cfRule type="expression" dxfId="365" priority="40">
      <formula>I291="✓ Correct"</formula>
    </cfRule>
    <cfRule type="expression" dxfId="364" priority="41">
      <formula>I291="À revoir"</formula>
    </cfRule>
    <cfRule type="expression" dxfId="363" priority="42">
      <formula>I291="À faire"</formula>
    </cfRule>
  </conditionalFormatting>
  <conditionalFormatting sqref="I310">
    <cfRule type="expression" dxfId="362" priority="43">
      <formula>I310="✓ Correct"</formula>
    </cfRule>
    <cfRule type="expression" dxfId="361" priority="44">
      <formula>I310="À revoir"</formula>
    </cfRule>
    <cfRule type="expression" dxfId="360" priority="45">
      <formula>I310="À faire"</formula>
    </cfRule>
  </conditionalFormatting>
  <conditionalFormatting sqref="I329">
    <cfRule type="expression" dxfId="359" priority="46">
      <formula>I329="✓ Correct"</formula>
    </cfRule>
    <cfRule type="expression" dxfId="358" priority="47">
      <formula>I329="À revoir"</formula>
    </cfRule>
    <cfRule type="expression" dxfId="357" priority="48">
      <formula>I329="À faire"</formula>
    </cfRule>
  </conditionalFormatting>
  <conditionalFormatting sqref="I348">
    <cfRule type="expression" dxfId="356" priority="49">
      <formula>I348="✓ Correct"</formula>
    </cfRule>
    <cfRule type="expression" dxfId="355" priority="50">
      <formula>I348="À revoir"</formula>
    </cfRule>
    <cfRule type="expression" dxfId="354" priority="51">
      <formula>I348="À faire"</formula>
    </cfRule>
  </conditionalFormatting>
  <conditionalFormatting sqref="I366">
    <cfRule type="expression" dxfId="353" priority="52">
      <formula>I366="✓ Correct"</formula>
    </cfRule>
    <cfRule type="expression" dxfId="352" priority="53">
      <formula>I366="À revoir"</formula>
    </cfRule>
    <cfRule type="expression" dxfId="351" priority="54">
      <formula>I366="À faire"</formula>
    </cfRule>
  </conditionalFormatting>
  <conditionalFormatting sqref="I384">
    <cfRule type="expression" dxfId="350" priority="55">
      <formula>I384="✓ Correct"</formula>
    </cfRule>
    <cfRule type="expression" dxfId="349" priority="56">
      <formula>I384="À revoir"</formula>
    </cfRule>
    <cfRule type="expression" dxfId="348" priority="57">
      <formula>I384="À faire"</formula>
    </cfRule>
  </conditionalFormatting>
  <conditionalFormatting sqref="I402">
    <cfRule type="expression" dxfId="347" priority="58">
      <formula>I402="✓ Correct"</formula>
    </cfRule>
    <cfRule type="expression" dxfId="346" priority="59">
      <formula>I402="À revoir"</formula>
    </cfRule>
    <cfRule type="expression" dxfId="345" priority="60">
      <formula>I402="À faire"</formula>
    </cfRule>
  </conditionalFormatting>
  <conditionalFormatting sqref="I421">
    <cfRule type="expression" dxfId="344" priority="61">
      <formula>I421="✓ Correct"</formula>
    </cfRule>
    <cfRule type="expression" dxfId="343" priority="62">
      <formula>I421="À revoir"</formula>
    </cfRule>
    <cfRule type="expression" dxfId="342" priority="63">
      <formula>I421="À faire"</formula>
    </cfRule>
  </conditionalFormatting>
  <conditionalFormatting sqref="I440">
    <cfRule type="expression" dxfId="341" priority="64">
      <formula>I440="✓ Correct"</formula>
    </cfRule>
    <cfRule type="expression" dxfId="340" priority="65">
      <formula>I440="À revoir"</formula>
    </cfRule>
    <cfRule type="expression" dxfId="339" priority="66">
      <formula>I440="À faire"</formula>
    </cfRule>
  </conditionalFormatting>
  <conditionalFormatting sqref="I460">
    <cfRule type="expression" dxfId="338" priority="67">
      <formula>I460="✓ Correct"</formula>
    </cfRule>
    <cfRule type="expression" dxfId="337" priority="68">
      <formula>I460="À revoir"</formula>
    </cfRule>
    <cfRule type="expression" dxfId="336" priority="69">
      <formula>I460="À faire"</formula>
    </cfRule>
  </conditionalFormatting>
  <conditionalFormatting sqref="I480">
    <cfRule type="expression" dxfId="335" priority="70">
      <formula>I480="✓ Correct"</formula>
    </cfRule>
    <cfRule type="expression" dxfId="334" priority="71">
      <formula>I480="À revoir"</formula>
    </cfRule>
    <cfRule type="expression" dxfId="333" priority="72">
      <formula>I480="À faire"</formula>
    </cfRule>
  </conditionalFormatting>
  <conditionalFormatting sqref="I498">
    <cfRule type="expression" dxfId="332" priority="73">
      <formula>I498="✓ Correct"</formula>
    </cfRule>
    <cfRule type="expression" dxfId="331" priority="74">
      <formula>I498="À revoir"</formula>
    </cfRule>
    <cfRule type="expression" dxfId="330" priority="75">
      <formula>I498="À faire"</formula>
    </cfRule>
  </conditionalFormatting>
  <conditionalFormatting sqref="I515">
    <cfRule type="expression" dxfId="329" priority="76">
      <formula>I515="✓ Correct"</formula>
    </cfRule>
    <cfRule type="expression" dxfId="328" priority="77">
      <formula>I515="À revoir"</formula>
    </cfRule>
    <cfRule type="expression" dxfId="327" priority="78">
      <formula>I515="À faire"</formula>
    </cfRule>
  </conditionalFormatting>
  <conditionalFormatting sqref="I537">
    <cfRule type="expression" dxfId="326" priority="79">
      <formula>I537="✓ Correct"</formula>
    </cfRule>
    <cfRule type="expression" dxfId="325" priority="80">
      <formula>I537="À revoir"</formula>
    </cfRule>
    <cfRule type="expression" dxfId="324" priority="81">
      <formula>I537="À faire"</formula>
    </cfRule>
  </conditionalFormatting>
  <conditionalFormatting sqref="I557">
    <cfRule type="expression" dxfId="323" priority="82">
      <formula>I557="✓ Correct"</formula>
    </cfRule>
    <cfRule type="expression" dxfId="322" priority="83">
      <formula>I557="À revoir"</formula>
    </cfRule>
    <cfRule type="expression" dxfId="321" priority="84">
      <formula>I557="À faire"</formula>
    </cfRule>
  </conditionalFormatting>
  <conditionalFormatting sqref="I581">
    <cfRule type="expression" dxfId="320" priority="85">
      <formula>I581="✓ Correct"</formula>
    </cfRule>
    <cfRule type="expression" dxfId="319" priority="86">
      <formula>I581="À revoir"</formula>
    </cfRule>
    <cfRule type="expression" dxfId="318" priority="87">
      <formula>I581="À faire"</formula>
    </cfRule>
  </conditionalFormatting>
  <conditionalFormatting sqref="I613">
    <cfRule type="expression" dxfId="317" priority="88">
      <formula>I613="✓ Correct"</formula>
    </cfRule>
    <cfRule type="expression" dxfId="316" priority="89">
      <formula>I613="À revoir"</formula>
    </cfRule>
    <cfRule type="expression" dxfId="315" priority="90">
      <formula>I613="À faire"</formula>
    </cfRule>
  </conditionalFormatting>
  <hyperlinks>
    <hyperlink ref="I2" location="SOMMAIRE!A1" display="SOMMAIR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00"/>
  <sheetViews>
    <sheetView showGridLines="0" zoomScale="85" zoomScaleNormal="85" workbookViewId="0"/>
  </sheetViews>
  <sheetFormatPr baseColWidth="10" defaultColWidth="9" defaultRowHeight="14.25"/>
  <cols>
    <col min="1" max="1" width="3" customWidth="1"/>
    <col min="2" max="2" width="51.125" customWidth="1"/>
    <col min="3" max="8" width="19" customWidth="1"/>
    <col min="9" max="9" width="18" customWidth="1"/>
    <col min="10" max="10" width="13" customWidth="1"/>
  </cols>
  <sheetData>
    <row r="1" spans="1:10">
      <c r="A1" s="42"/>
      <c r="B1" s="42"/>
      <c r="C1" s="42"/>
      <c r="D1" s="42"/>
      <c r="E1" s="42"/>
      <c r="F1" s="42"/>
      <c r="G1" s="42"/>
      <c r="H1" s="42"/>
      <c r="I1" s="42"/>
      <c r="J1" s="42"/>
    </row>
    <row r="2" spans="1:10" ht="19.5">
      <c r="A2" s="42"/>
      <c r="B2" s="43" t="s">
        <v>447</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449</v>
      </c>
      <c r="C7" s="46" t="s">
        <v>1473</v>
      </c>
    </row>
    <row r="8" spans="1:10" ht="33.950000000000003" customHeight="1">
      <c r="B8" s="47" t="s">
        <v>453</v>
      </c>
      <c r="C8" s="46" t="s">
        <v>454</v>
      </c>
    </row>
    <row r="9" spans="1:10" ht="33.950000000000003" customHeight="1">
      <c r="B9" s="47" t="s">
        <v>457</v>
      </c>
      <c r="C9" s="46" t="s">
        <v>458</v>
      </c>
    </row>
    <row r="10" spans="1:10" ht="33.950000000000003" customHeight="1">
      <c r="B10" s="47" t="s">
        <v>461</v>
      </c>
      <c r="C10" s="46" t="s">
        <v>462</v>
      </c>
    </row>
    <row r="11" spans="1:10" ht="33.950000000000003" customHeight="1">
      <c r="B11" s="47" t="s">
        <v>464</v>
      </c>
      <c r="C11" s="46" t="s">
        <v>465</v>
      </c>
    </row>
    <row r="12" spans="1:10" ht="33.950000000000003" customHeight="1">
      <c r="B12" s="47" t="s">
        <v>468</v>
      </c>
      <c r="C12" s="46" t="s">
        <v>469</v>
      </c>
    </row>
    <row r="13" spans="1:10" ht="33.950000000000003" customHeight="1">
      <c r="B13" s="47" t="s">
        <v>471</v>
      </c>
      <c r="C13" s="46" t="s">
        <v>472</v>
      </c>
    </row>
    <row r="14" spans="1:10" ht="33.950000000000003" customHeight="1">
      <c r="B14" s="35" t="s">
        <v>475</v>
      </c>
      <c r="C14" s="34" t="s">
        <v>476</v>
      </c>
    </row>
    <row r="15" spans="1:10">
      <c r="A15" s="192"/>
      <c r="B15" s="192"/>
      <c r="C15" s="192"/>
      <c r="D15" s="192"/>
      <c r="E15" s="192"/>
      <c r="F15" s="192"/>
      <c r="G15" s="192"/>
      <c r="H15" s="192"/>
      <c r="I15" s="192"/>
    </row>
    <row r="16" spans="1:10">
      <c r="A16" s="192"/>
      <c r="B16" s="192"/>
      <c r="C16" s="192"/>
      <c r="D16" s="192"/>
      <c r="E16" s="192"/>
      <c r="F16" s="192"/>
      <c r="G16" s="192"/>
      <c r="H16" s="192"/>
      <c r="I16" s="192"/>
    </row>
    <row r="17" spans="1:9">
      <c r="A17" s="192"/>
      <c r="B17" s="192"/>
      <c r="C17" s="192"/>
      <c r="D17" s="192"/>
      <c r="E17" s="192"/>
      <c r="F17" s="192"/>
      <c r="G17" s="192"/>
      <c r="H17" s="192"/>
      <c r="I17" s="192"/>
    </row>
    <row r="18" spans="1:9">
      <c r="A18" s="192"/>
      <c r="B18" s="192"/>
      <c r="C18" s="192"/>
      <c r="D18" s="192"/>
      <c r="E18" s="192"/>
      <c r="F18" s="192"/>
      <c r="G18" s="192"/>
      <c r="H18" s="192"/>
      <c r="I18" s="192"/>
    </row>
    <row r="19" spans="1:9">
      <c r="A19" s="192"/>
      <c r="B19" s="192"/>
      <c r="C19" s="192"/>
      <c r="D19" s="192"/>
      <c r="E19" s="192"/>
      <c r="F19" s="192"/>
      <c r="G19" s="192"/>
      <c r="H19" s="192"/>
      <c r="I19" s="192"/>
    </row>
    <row r="20" spans="1:9" ht="24" customHeight="1">
      <c r="A20" s="192"/>
      <c r="B20" s="570" t="s">
        <v>1474</v>
      </c>
      <c r="C20" s="570"/>
      <c r="D20" s="570"/>
      <c r="E20" s="570"/>
      <c r="F20" s="570"/>
      <c r="G20" s="570"/>
      <c r="H20" s="570"/>
      <c r="I20" s="570"/>
    </row>
    <row r="21" spans="1:9">
      <c r="A21" s="192"/>
      <c r="B21" s="192"/>
      <c r="C21" s="192"/>
      <c r="D21" s="192"/>
      <c r="E21" s="192"/>
      <c r="F21" s="192"/>
      <c r="G21" s="192"/>
      <c r="H21" s="192"/>
      <c r="I21" s="192"/>
    </row>
    <row r="22" spans="1:9" ht="24" customHeight="1">
      <c r="A22" s="192"/>
      <c r="B22" s="574" t="s">
        <v>1475</v>
      </c>
      <c r="C22" s="574"/>
      <c r="D22" s="574"/>
      <c r="E22" s="574"/>
      <c r="F22" s="574"/>
      <c r="G22" s="574"/>
      <c r="H22" s="574"/>
      <c r="I22" s="574"/>
    </row>
    <row r="23" spans="1:9">
      <c r="A23" s="192"/>
      <c r="B23" s="192"/>
      <c r="C23" s="192"/>
      <c r="D23" s="192"/>
      <c r="E23" s="192"/>
      <c r="F23" s="192"/>
      <c r="G23" s="192"/>
      <c r="H23" s="192"/>
      <c r="I23" s="192"/>
    </row>
    <row r="24" spans="1:9" ht="24.95" customHeight="1">
      <c r="A24" s="192"/>
      <c r="B24" s="571" t="s">
        <v>1476</v>
      </c>
      <c r="C24" s="571"/>
      <c r="D24" s="571"/>
      <c r="E24" s="571"/>
      <c r="F24" s="571"/>
      <c r="G24" s="571"/>
      <c r="H24" s="193" t="s">
        <v>901</v>
      </c>
      <c r="I24" s="194" t="s">
        <v>1386</v>
      </c>
    </row>
    <row r="25" spans="1:9">
      <c r="A25" s="192"/>
      <c r="B25" s="192"/>
      <c r="C25" s="192"/>
      <c r="D25" s="192"/>
      <c r="E25" s="192"/>
      <c r="F25" s="192"/>
      <c r="G25" s="192"/>
      <c r="H25" s="192"/>
      <c r="I25" s="192"/>
    </row>
    <row r="26" spans="1:9" ht="42" customHeight="1">
      <c r="A26" s="192"/>
      <c r="B26" s="572" t="s">
        <v>1477</v>
      </c>
      <c r="C26" s="572"/>
      <c r="D26" s="572"/>
      <c r="E26" s="572"/>
      <c r="F26" s="572"/>
      <c r="G26" s="572"/>
      <c r="H26" s="572"/>
      <c r="I26" s="572"/>
    </row>
    <row r="27" spans="1:9">
      <c r="A27" s="192"/>
      <c r="B27" s="192"/>
      <c r="C27" s="192"/>
      <c r="D27" s="192"/>
      <c r="E27" s="192"/>
      <c r="F27" s="192"/>
      <c r="G27" s="192"/>
      <c r="H27" s="192"/>
      <c r="I27" s="192"/>
    </row>
    <row r="28" spans="1:9" ht="15">
      <c r="A28" s="192"/>
      <c r="B28" s="404" t="s">
        <v>1478</v>
      </c>
      <c r="C28" s="397"/>
      <c r="D28" s="356"/>
      <c r="E28" s="192"/>
      <c r="F28" s="192"/>
      <c r="G28" s="192"/>
      <c r="H28" s="192"/>
      <c r="I28" s="192"/>
    </row>
    <row r="29" spans="1:9" ht="15">
      <c r="A29" s="192"/>
      <c r="B29" s="405" t="s">
        <v>1479</v>
      </c>
      <c r="C29" s="397"/>
      <c r="D29" s="356"/>
      <c r="E29" s="192"/>
      <c r="F29" s="192"/>
      <c r="G29" s="192"/>
      <c r="H29" s="192"/>
      <c r="I29" s="192"/>
    </row>
    <row r="30" spans="1:9" ht="15">
      <c r="A30" s="192"/>
      <c r="B30" s="406" t="s">
        <v>1480</v>
      </c>
      <c r="C30" s="397"/>
      <c r="D30" s="356"/>
      <c r="E30" s="192"/>
      <c r="F30" s="192"/>
      <c r="G30" s="192"/>
      <c r="H30" s="192"/>
      <c r="I30" s="192"/>
    </row>
    <row r="31" spans="1:9">
      <c r="A31" s="192"/>
      <c r="B31" s="192"/>
      <c r="C31" s="356"/>
      <c r="D31" s="192"/>
      <c r="E31" s="192"/>
      <c r="F31" s="192"/>
      <c r="G31" s="192"/>
      <c r="H31" s="192"/>
      <c r="I31" s="192"/>
    </row>
    <row r="32" spans="1:9" ht="15">
      <c r="A32" s="192"/>
      <c r="B32" s="192"/>
      <c r="C32" s="192"/>
      <c r="D32" s="192"/>
      <c r="E32" s="192"/>
      <c r="F32" s="192"/>
      <c r="G32" s="192"/>
      <c r="H32" s="195" t="s">
        <v>909</v>
      </c>
      <c r="I32" s="196" t="str">
        <f>IF(COUNTA(C28:C30)&lt;3,"À faire",IF(AND(C28=1,UPPER(SUBSTITUTE(C29,"$",""))="H22",LOWER(C30)="non"),"✓ Correct","À revoir"))</f>
        <v>À faire</v>
      </c>
    </row>
    <row r="33" spans="1:9">
      <c r="A33" s="192"/>
      <c r="B33" s="192"/>
      <c r="C33" s="192"/>
      <c r="D33" s="192"/>
      <c r="E33" s="192"/>
      <c r="F33" s="192"/>
      <c r="G33" s="192"/>
      <c r="H33" s="192"/>
      <c r="I33" s="192"/>
    </row>
    <row r="34" spans="1:9">
      <c r="A34" s="192"/>
      <c r="B34" s="192"/>
      <c r="C34" s="192"/>
      <c r="D34" s="192"/>
      <c r="E34" s="192"/>
      <c r="F34" s="192"/>
      <c r="G34" s="192"/>
      <c r="H34" s="192"/>
      <c r="I34" s="192"/>
    </row>
    <row r="35" spans="1:9" ht="24.95" customHeight="1">
      <c r="A35" s="192"/>
      <c r="B35" s="571" t="s">
        <v>1481</v>
      </c>
      <c r="C35" s="571"/>
      <c r="D35" s="571"/>
      <c r="E35" s="571"/>
      <c r="F35" s="571"/>
      <c r="G35" s="571"/>
      <c r="H35" s="193" t="s">
        <v>901</v>
      </c>
      <c r="I35" s="194" t="s">
        <v>1386</v>
      </c>
    </row>
    <row r="36" spans="1:9">
      <c r="A36" s="192"/>
      <c r="B36" s="192"/>
      <c r="C36" s="192"/>
      <c r="D36" s="192"/>
      <c r="E36" s="192"/>
      <c r="F36" s="192"/>
      <c r="G36" s="192"/>
      <c r="H36" s="192"/>
      <c r="I36" s="192"/>
    </row>
    <row r="37" spans="1:9" ht="42" customHeight="1">
      <c r="A37" s="192"/>
      <c r="B37" s="572" t="s">
        <v>1482</v>
      </c>
      <c r="C37" s="572"/>
      <c r="D37" s="572"/>
      <c r="E37" s="572"/>
      <c r="F37" s="572"/>
      <c r="G37" s="572"/>
      <c r="H37" s="572"/>
      <c r="I37" s="572"/>
    </row>
    <row r="38" spans="1:9">
      <c r="A38" s="192"/>
      <c r="B38" s="192"/>
      <c r="C38" s="192"/>
      <c r="D38" s="192"/>
      <c r="E38" s="192"/>
      <c r="F38" s="192"/>
      <c r="G38" s="192"/>
      <c r="H38" s="192"/>
      <c r="I38" s="192"/>
    </row>
    <row r="39" spans="1:9" ht="15">
      <c r="A39" s="192"/>
      <c r="B39" s="404" t="s">
        <v>1483</v>
      </c>
      <c r="C39" s="397"/>
      <c r="D39" s="356"/>
      <c r="E39" s="192"/>
      <c r="F39" s="192"/>
      <c r="G39" s="192"/>
      <c r="H39" s="192"/>
      <c r="I39" s="192"/>
    </row>
    <row r="40" spans="1:9" ht="15">
      <c r="A40" s="192"/>
      <c r="B40" s="405" t="s">
        <v>1484</v>
      </c>
      <c r="C40" s="397"/>
      <c r="D40" s="356"/>
      <c r="E40" s="192"/>
      <c r="F40" s="192"/>
      <c r="G40" s="192"/>
      <c r="H40" s="192"/>
      <c r="I40" s="192"/>
    </row>
    <row r="41" spans="1:9" ht="15">
      <c r="A41" s="192"/>
      <c r="B41" s="405" t="s">
        <v>1485</v>
      </c>
      <c r="C41" s="397"/>
      <c r="D41" s="356"/>
      <c r="E41" s="192"/>
      <c r="F41" s="192"/>
      <c r="G41" s="192"/>
      <c r="H41" s="192"/>
      <c r="I41" s="192"/>
    </row>
    <row r="42" spans="1:9" ht="15">
      <c r="A42" s="192"/>
      <c r="B42" s="406" t="s">
        <v>1486</v>
      </c>
      <c r="C42" s="397"/>
      <c r="D42" s="356"/>
      <c r="E42" s="192"/>
      <c r="F42" s="192"/>
      <c r="G42" s="192"/>
      <c r="H42" s="192"/>
      <c r="I42" s="192"/>
    </row>
    <row r="43" spans="1:9">
      <c r="A43" s="192"/>
      <c r="B43" s="192"/>
      <c r="C43" s="356"/>
      <c r="D43" s="192"/>
      <c r="E43" s="192"/>
      <c r="F43" s="192"/>
      <c r="G43" s="192"/>
      <c r="H43" s="192"/>
      <c r="I43" s="192"/>
    </row>
    <row r="44" spans="1:9" ht="15">
      <c r="A44" s="192"/>
      <c r="B44" s="192"/>
      <c r="C44" s="192"/>
      <c r="D44" s="192"/>
      <c r="E44" s="192"/>
      <c r="F44" s="192"/>
      <c r="G44" s="192"/>
      <c r="H44" s="195" t="s">
        <v>909</v>
      </c>
      <c r="I44" s="196" t="str">
        <f>IF(COUNTA(C39:C42)&lt;4,"À faire",IF(AND(C39="Possible",C40="Bloquée",C41="Bloquée",C42="Bloquée"),"✓ Correct","À revoir"))</f>
        <v>À faire</v>
      </c>
    </row>
    <row r="45" spans="1:9">
      <c r="A45" s="192"/>
      <c r="B45" s="192"/>
      <c r="C45" s="192"/>
      <c r="D45" s="192"/>
      <c r="E45" s="192"/>
      <c r="F45" s="192"/>
      <c r="G45" s="192"/>
      <c r="H45" s="192"/>
      <c r="I45" s="192"/>
    </row>
    <row r="46" spans="1:9">
      <c r="A46" s="192"/>
      <c r="B46" s="192"/>
      <c r="C46" s="192"/>
      <c r="D46" s="192"/>
      <c r="E46" s="192"/>
      <c r="F46" s="192"/>
      <c r="G46" s="192"/>
      <c r="H46" s="192"/>
      <c r="I46" s="192"/>
    </row>
    <row r="47" spans="1:9" ht="24.95" customHeight="1">
      <c r="A47" s="192"/>
      <c r="B47" s="571" t="s">
        <v>1487</v>
      </c>
      <c r="C47" s="571"/>
      <c r="D47" s="571"/>
      <c r="E47" s="571"/>
      <c r="F47" s="571"/>
      <c r="G47" s="571"/>
      <c r="H47" s="193" t="s">
        <v>901</v>
      </c>
      <c r="I47" s="194" t="s">
        <v>1386</v>
      </c>
    </row>
    <row r="48" spans="1:9">
      <c r="A48" s="192"/>
      <c r="B48" s="192"/>
      <c r="C48" s="192"/>
      <c r="D48" s="192"/>
      <c r="E48" s="192"/>
      <c r="F48" s="192"/>
      <c r="G48" s="192"/>
      <c r="H48" s="192"/>
      <c r="I48" s="192"/>
    </row>
    <row r="49" spans="1:9" ht="42" customHeight="1">
      <c r="A49" s="192"/>
      <c r="B49" s="572" t="s">
        <v>1488</v>
      </c>
      <c r="C49" s="572"/>
      <c r="D49" s="572"/>
      <c r="E49" s="572"/>
      <c r="F49" s="572"/>
      <c r="G49" s="572"/>
      <c r="H49" s="572"/>
      <c r="I49" s="572"/>
    </row>
    <row r="50" spans="1:9">
      <c r="A50" s="192"/>
      <c r="B50" s="192"/>
      <c r="C50" s="192"/>
      <c r="D50" s="192"/>
      <c r="E50" s="192"/>
      <c r="F50" s="192"/>
      <c r="G50" s="192"/>
      <c r="H50" s="192"/>
      <c r="I50" s="192"/>
    </row>
    <row r="51" spans="1:9" ht="15">
      <c r="A51" s="192"/>
      <c r="B51" s="404" t="s">
        <v>1489</v>
      </c>
      <c r="C51" s="397"/>
      <c r="D51" s="356"/>
      <c r="E51" s="192"/>
      <c r="F51" s="192"/>
      <c r="G51" s="192"/>
      <c r="H51" s="192"/>
      <c r="I51" s="192"/>
    </row>
    <row r="52" spans="1:9" ht="15">
      <c r="A52" s="192"/>
      <c r="B52" s="406" t="s">
        <v>1490</v>
      </c>
      <c r="C52" s="397"/>
      <c r="D52" s="356"/>
      <c r="E52" s="192"/>
      <c r="F52" s="192"/>
      <c r="G52" s="192"/>
      <c r="H52" s="192"/>
      <c r="I52" s="192"/>
    </row>
    <row r="53" spans="1:9">
      <c r="A53" s="192"/>
      <c r="B53" s="192"/>
      <c r="C53" s="356"/>
      <c r="D53" s="192"/>
      <c r="E53" s="192"/>
      <c r="F53" s="192"/>
      <c r="G53" s="192"/>
      <c r="H53" s="192"/>
      <c r="I53" s="192"/>
    </row>
    <row r="54" spans="1:9" ht="15">
      <c r="A54" s="192"/>
      <c r="B54" s="192"/>
      <c r="C54" s="192"/>
      <c r="D54" s="192"/>
      <c r="E54" s="192"/>
      <c r="F54" s="192"/>
      <c r="G54" s="192"/>
      <c r="H54" s="195" t="s">
        <v>909</v>
      </c>
      <c r="I54" s="196" t="str">
        <f>IF(COUNTA(C51:C52)&lt;2,"À faire",IF(AND(UPPER(SUBSTITUTE(C51,"$",""))="G23",C52=12),"✓ Correct","À revoir"))</f>
        <v>À faire</v>
      </c>
    </row>
    <row r="55" spans="1:9">
      <c r="A55" s="192"/>
      <c r="B55" s="192"/>
      <c r="C55" s="192"/>
      <c r="D55" s="192"/>
      <c r="E55" s="192"/>
      <c r="F55" s="192"/>
      <c r="G55" s="192"/>
      <c r="H55" s="192"/>
      <c r="I55" s="192"/>
    </row>
    <row r="56" spans="1:9">
      <c r="A56" s="192"/>
      <c r="B56" s="192"/>
      <c r="C56" s="192"/>
      <c r="D56" s="192"/>
      <c r="E56" s="192"/>
      <c r="F56" s="192"/>
      <c r="G56" s="192"/>
      <c r="H56" s="192"/>
      <c r="I56" s="192"/>
    </row>
    <row r="57" spans="1:9" ht="24" customHeight="1">
      <c r="A57" s="192"/>
      <c r="B57" s="574" t="s">
        <v>453</v>
      </c>
      <c r="C57" s="574"/>
      <c r="D57" s="574"/>
      <c r="E57" s="574"/>
      <c r="F57" s="574"/>
      <c r="G57" s="574"/>
      <c r="H57" s="574"/>
      <c r="I57" s="574"/>
    </row>
    <row r="58" spans="1:9">
      <c r="A58" s="192"/>
      <c r="B58" s="192"/>
      <c r="C58" s="192"/>
      <c r="D58" s="192"/>
      <c r="E58" s="192"/>
      <c r="F58" s="192"/>
      <c r="G58" s="192"/>
      <c r="H58" s="192"/>
      <c r="I58" s="192"/>
    </row>
    <row r="59" spans="1:9" ht="24.95" customHeight="1">
      <c r="A59" s="192"/>
      <c r="B59" s="571" t="s">
        <v>1491</v>
      </c>
      <c r="C59" s="571"/>
      <c r="D59" s="571"/>
      <c r="E59" s="571"/>
      <c r="F59" s="571"/>
      <c r="G59" s="571"/>
      <c r="H59" s="193" t="s">
        <v>901</v>
      </c>
      <c r="I59" s="194" t="s">
        <v>1386</v>
      </c>
    </row>
    <row r="60" spans="1:9">
      <c r="A60" s="192"/>
      <c r="B60" s="192"/>
      <c r="C60" s="192"/>
      <c r="D60" s="192"/>
      <c r="E60" s="192"/>
      <c r="F60" s="192"/>
      <c r="G60" s="192"/>
      <c r="H60" s="192"/>
      <c r="I60" s="192"/>
    </row>
    <row r="61" spans="1:9" ht="42" customHeight="1">
      <c r="A61" s="192"/>
      <c r="B61" s="572" t="s">
        <v>1492</v>
      </c>
      <c r="C61" s="572"/>
      <c r="D61" s="572"/>
      <c r="E61" s="572"/>
      <c r="F61" s="572"/>
      <c r="G61" s="572"/>
      <c r="H61" s="572"/>
      <c r="I61" s="572"/>
    </row>
    <row r="62" spans="1:9">
      <c r="A62" s="192"/>
      <c r="B62" s="192"/>
      <c r="C62" s="192"/>
      <c r="D62" s="192"/>
      <c r="E62" s="192"/>
      <c r="F62" s="192"/>
      <c r="G62" s="192"/>
      <c r="H62" s="192"/>
      <c r="I62" s="192"/>
    </row>
    <row r="63" spans="1:9" ht="21.95" customHeight="1">
      <c r="A63" s="192"/>
      <c r="B63" s="197" t="s">
        <v>1272</v>
      </c>
      <c r="C63" s="197" t="s">
        <v>1087</v>
      </c>
      <c r="D63" s="197" t="s">
        <v>1097</v>
      </c>
      <c r="E63" s="197" t="s">
        <v>26</v>
      </c>
      <c r="F63" s="192"/>
      <c r="G63" s="192"/>
      <c r="H63" s="192"/>
      <c r="I63" s="192"/>
    </row>
    <row r="64" spans="1:9">
      <c r="A64" s="192"/>
      <c r="B64" s="362" t="s">
        <v>1493</v>
      </c>
      <c r="C64" s="363" t="s">
        <v>964</v>
      </c>
      <c r="D64" s="363" t="s">
        <v>1098</v>
      </c>
      <c r="E64" s="364">
        <v>480</v>
      </c>
      <c r="F64" s="192"/>
      <c r="G64" s="192"/>
      <c r="H64" s="192"/>
      <c r="I64" s="192"/>
    </row>
    <row r="65" spans="1:9">
      <c r="A65" s="192"/>
      <c r="B65" s="362" t="s">
        <v>1494</v>
      </c>
      <c r="C65" s="363" t="s">
        <v>1088</v>
      </c>
      <c r="D65" s="363" t="s">
        <v>1099</v>
      </c>
      <c r="E65" s="364">
        <v>320</v>
      </c>
      <c r="F65" s="192"/>
      <c r="G65" s="192"/>
      <c r="H65" s="192"/>
      <c r="I65" s="192"/>
    </row>
    <row r="66" spans="1:9">
      <c r="A66" s="192"/>
      <c r="B66" s="362" t="s">
        <v>1495</v>
      </c>
      <c r="C66" s="363" t="s">
        <v>964</v>
      </c>
      <c r="D66" s="363" t="s">
        <v>1098</v>
      </c>
      <c r="E66" s="364">
        <v>750</v>
      </c>
      <c r="F66" s="192"/>
      <c r="G66" s="192"/>
      <c r="H66" s="192"/>
      <c r="I66" s="192"/>
    </row>
    <row r="67" spans="1:9">
      <c r="A67" s="192"/>
      <c r="B67" s="362" t="s">
        <v>1496</v>
      </c>
      <c r="C67" s="363" t="s">
        <v>1089</v>
      </c>
      <c r="D67" s="363" t="s">
        <v>1105</v>
      </c>
      <c r="E67" s="364">
        <v>210</v>
      </c>
      <c r="F67" s="192"/>
      <c r="G67" s="192"/>
      <c r="H67" s="192"/>
      <c r="I67" s="192"/>
    </row>
    <row r="68" spans="1:9">
      <c r="A68" s="192"/>
      <c r="B68" s="362" t="s">
        <v>1497</v>
      </c>
      <c r="C68" s="363" t="s">
        <v>1088</v>
      </c>
      <c r="D68" s="363" t="s">
        <v>1098</v>
      </c>
      <c r="E68" s="364">
        <v>560</v>
      </c>
      <c r="F68" s="192"/>
      <c r="G68" s="192"/>
      <c r="H68" s="192"/>
      <c r="I68" s="192"/>
    </row>
    <row r="69" spans="1:9">
      <c r="A69" s="192"/>
      <c r="B69" s="362" t="s">
        <v>1498</v>
      </c>
      <c r="C69" s="363" t="s">
        <v>964</v>
      </c>
      <c r="D69" s="363" t="s">
        <v>1099</v>
      </c>
      <c r="E69" s="364">
        <v>430</v>
      </c>
      <c r="F69" s="192"/>
      <c r="G69" s="192"/>
      <c r="H69" s="192"/>
      <c r="I69" s="192"/>
    </row>
    <row r="70" spans="1:9">
      <c r="A70" s="192"/>
      <c r="B70" s="362" t="s">
        <v>1499</v>
      </c>
      <c r="C70" s="363" t="s">
        <v>1500</v>
      </c>
      <c r="D70" s="363" t="s">
        <v>1098</v>
      </c>
      <c r="E70" s="364">
        <v>390</v>
      </c>
      <c r="F70" s="192"/>
      <c r="G70" s="192"/>
      <c r="H70" s="192"/>
      <c r="I70" s="192"/>
    </row>
    <row r="71" spans="1:9">
      <c r="A71" s="192"/>
      <c r="B71" s="362" t="s">
        <v>1501</v>
      </c>
      <c r="C71" s="363" t="s">
        <v>1088</v>
      </c>
      <c r="D71" s="363" t="s">
        <v>1098</v>
      </c>
      <c r="E71" s="364">
        <v>620</v>
      </c>
      <c r="F71" s="192"/>
      <c r="G71" s="192"/>
      <c r="H71" s="192"/>
      <c r="I71" s="192"/>
    </row>
    <row r="72" spans="1:9">
      <c r="A72" s="192"/>
      <c r="B72" s="192"/>
      <c r="C72" s="192"/>
      <c r="D72" s="192"/>
      <c r="E72" s="192"/>
      <c r="F72" s="192"/>
      <c r="G72" s="192"/>
      <c r="H72" s="192"/>
      <c r="I72" s="192"/>
    </row>
    <row r="73" spans="1:9" ht="21.95" customHeight="1">
      <c r="A73" s="192"/>
      <c r="B73" s="192"/>
      <c r="C73" s="197" t="s">
        <v>1272</v>
      </c>
      <c r="D73" s="373" t="s">
        <v>1087</v>
      </c>
      <c r="E73" s="373" t="s">
        <v>1097</v>
      </c>
      <c r="F73" s="373" t="s">
        <v>26</v>
      </c>
      <c r="G73" s="192"/>
      <c r="H73" s="192"/>
      <c r="I73" s="192"/>
    </row>
    <row r="74" spans="1:9" ht="15">
      <c r="A74" s="192"/>
      <c r="B74" s="198" t="s">
        <v>927</v>
      </c>
      <c r="C74" s="397"/>
      <c r="D74" s="376"/>
      <c r="E74" s="376"/>
      <c r="F74" s="377"/>
      <c r="G74" s="192"/>
      <c r="H74" s="192"/>
      <c r="I74" s="192"/>
    </row>
    <row r="75" spans="1:9">
      <c r="A75" s="192"/>
      <c r="B75" s="356"/>
      <c r="C75" s="390"/>
      <c r="D75" s="376"/>
      <c r="E75" s="376"/>
      <c r="F75" s="377"/>
      <c r="G75" s="192"/>
      <c r="H75" s="192"/>
      <c r="I75" s="192"/>
    </row>
    <row r="76" spans="1:9">
      <c r="A76" s="192"/>
      <c r="B76" s="356"/>
      <c r="C76" s="375"/>
      <c r="D76" s="376"/>
      <c r="E76" s="376"/>
      <c r="F76" s="377"/>
      <c r="G76" s="192"/>
      <c r="H76" s="192"/>
      <c r="I76" s="192"/>
    </row>
    <row r="77" spans="1:9">
      <c r="A77" s="192"/>
      <c r="B77" s="356"/>
      <c r="C77" s="375"/>
      <c r="D77" s="376"/>
      <c r="E77" s="376"/>
      <c r="F77" s="377"/>
      <c r="G77" s="192"/>
      <c r="H77" s="192"/>
      <c r="I77" s="192"/>
    </row>
    <row r="78" spans="1:9">
      <c r="A78" s="192"/>
      <c r="B78" s="356"/>
      <c r="C78" s="375"/>
      <c r="D78" s="376"/>
      <c r="E78" s="376"/>
      <c r="F78" s="377"/>
      <c r="G78" s="192"/>
      <c r="H78" s="192"/>
      <c r="I78" s="192"/>
    </row>
    <row r="79" spans="1:9">
      <c r="A79" s="192"/>
      <c r="B79" s="356"/>
      <c r="C79" s="375"/>
      <c r="D79" s="376"/>
      <c r="E79" s="376"/>
      <c r="F79" s="377"/>
      <c r="G79" s="192"/>
      <c r="H79" s="192"/>
      <c r="I79" s="192"/>
    </row>
    <row r="80" spans="1:9">
      <c r="A80" s="192"/>
      <c r="B80" s="192"/>
      <c r="C80" s="192"/>
      <c r="D80" s="192"/>
      <c r="E80" s="192"/>
      <c r="F80" s="192"/>
      <c r="G80" s="192"/>
      <c r="H80" s="192"/>
      <c r="I80" s="192"/>
    </row>
    <row r="81" spans="1:9" ht="15">
      <c r="A81" s="192"/>
      <c r="B81" s="192"/>
      <c r="C81" s="192"/>
      <c r="D81" s="192"/>
      <c r="E81" s="192"/>
      <c r="F81" s="192"/>
      <c r="G81" s="192"/>
      <c r="H81" s="195" t="s">
        <v>909</v>
      </c>
      <c r="I81" s="196" t="str">
        <f>IF(C74="","À faire",IFERROR(IF(AND(C74="C-101",D74="Martin",E74="Payée",ABS(F74-480)&lt;0.0001,C75="C-103",D75="Martin",E75="Payée",ABS(F75-750)&lt;0.0001,C76="C-105",D76="Dupont",E76="Payée",ABS(F76-560)&lt;0.0001,C77="C-107",D77="Bernard",E77="Payée",ABS(F77-390)&lt;0.0001,C78="C-108",D78="Dupont",E78="Payée",ABS(F78-620)&lt;0.0001,COUNTA(C79:F79)=0),"✓ Correct","À revoir"),"À revoir"))</f>
        <v>À faire</v>
      </c>
    </row>
    <row r="82" spans="1:9">
      <c r="A82" s="192"/>
      <c r="B82" s="192"/>
      <c r="C82" s="192"/>
      <c r="D82" s="192"/>
      <c r="E82" s="192"/>
      <c r="F82" s="192"/>
      <c r="G82" s="192"/>
      <c r="H82" s="192"/>
      <c r="I82" s="192"/>
    </row>
    <row r="83" spans="1:9">
      <c r="A83" s="192"/>
      <c r="B83" s="192"/>
      <c r="C83" s="192"/>
      <c r="D83" s="192"/>
      <c r="E83" s="192"/>
      <c r="F83" s="192"/>
      <c r="G83" s="192"/>
      <c r="H83" s="192"/>
      <c r="I83" s="192"/>
    </row>
    <row r="84" spans="1:9" ht="24.95" customHeight="1">
      <c r="A84" s="192"/>
      <c r="B84" s="571" t="s">
        <v>1502</v>
      </c>
      <c r="C84" s="571"/>
      <c r="D84" s="571"/>
      <c r="E84" s="571"/>
      <c r="F84" s="571"/>
      <c r="G84" s="571"/>
      <c r="H84" s="193" t="s">
        <v>901</v>
      </c>
      <c r="I84" s="194" t="s">
        <v>1386</v>
      </c>
    </row>
    <row r="85" spans="1:9">
      <c r="A85" s="192"/>
      <c r="B85" s="192"/>
      <c r="C85" s="192"/>
      <c r="D85" s="192"/>
      <c r="E85" s="192"/>
      <c r="F85" s="192"/>
      <c r="G85" s="192"/>
      <c r="H85" s="192"/>
      <c r="I85" s="192"/>
    </row>
    <row r="86" spans="1:9" ht="42" customHeight="1">
      <c r="A86" s="192"/>
      <c r="B86" s="572" t="s">
        <v>1503</v>
      </c>
      <c r="C86" s="572"/>
      <c r="D86" s="572"/>
      <c r="E86" s="572"/>
      <c r="F86" s="572"/>
      <c r="G86" s="572"/>
      <c r="H86" s="572"/>
      <c r="I86" s="572"/>
    </row>
    <row r="87" spans="1:9">
      <c r="A87" s="192"/>
      <c r="B87" s="192"/>
      <c r="C87" s="192"/>
      <c r="D87" s="192"/>
      <c r="E87" s="192"/>
      <c r="F87" s="192"/>
      <c r="G87" s="192"/>
      <c r="H87" s="192"/>
      <c r="I87" s="192"/>
    </row>
    <row r="88" spans="1:9" ht="21.95" customHeight="1">
      <c r="A88" s="192"/>
      <c r="B88" s="197" t="s">
        <v>1272</v>
      </c>
      <c r="C88" s="197" t="s">
        <v>1087</v>
      </c>
      <c r="D88" s="197" t="s">
        <v>1097</v>
      </c>
      <c r="E88" s="197" t="s">
        <v>26</v>
      </c>
      <c r="F88" s="192"/>
      <c r="G88" s="192"/>
      <c r="H88" s="192"/>
      <c r="I88" s="192"/>
    </row>
    <row r="89" spans="1:9">
      <c r="A89" s="192"/>
      <c r="B89" s="362" t="s">
        <v>1493</v>
      </c>
      <c r="C89" s="363" t="s">
        <v>964</v>
      </c>
      <c r="D89" s="363" t="s">
        <v>1098</v>
      </c>
      <c r="E89" s="364">
        <v>480</v>
      </c>
      <c r="F89" s="192"/>
      <c r="G89" s="192"/>
      <c r="H89" s="192"/>
      <c r="I89" s="192"/>
    </row>
    <row r="90" spans="1:9">
      <c r="A90" s="192"/>
      <c r="B90" s="362" t="s">
        <v>1494</v>
      </c>
      <c r="C90" s="363" t="s">
        <v>1088</v>
      </c>
      <c r="D90" s="363" t="s">
        <v>1099</v>
      </c>
      <c r="E90" s="364">
        <v>320</v>
      </c>
      <c r="F90" s="192"/>
      <c r="G90" s="192"/>
      <c r="H90" s="192"/>
      <c r="I90" s="192"/>
    </row>
    <row r="91" spans="1:9">
      <c r="A91" s="192"/>
      <c r="B91" s="362" t="s">
        <v>1495</v>
      </c>
      <c r="C91" s="363" t="s">
        <v>964</v>
      </c>
      <c r="D91" s="363" t="s">
        <v>1098</v>
      </c>
      <c r="E91" s="364">
        <v>750</v>
      </c>
      <c r="F91" s="192"/>
      <c r="G91" s="192"/>
      <c r="H91" s="192"/>
      <c r="I91" s="192"/>
    </row>
    <row r="92" spans="1:9">
      <c r="A92" s="192"/>
      <c r="B92" s="362" t="s">
        <v>1496</v>
      </c>
      <c r="C92" s="363" t="s">
        <v>1089</v>
      </c>
      <c r="D92" s="363" t="s">
        <v>1105</v>
      </c>
      <c r="E92" s="364">
        <v>210</v>
      </c>
      <c r="F92" s="192"/>
      <c r="G92" s="192"/>
      <c r="H92" s="192"/>
      <c r="I92" s="192"/>
    </row>
    <row r="93" spans="1:9">
      <c r="A93" s="192"/>
      <c r="B93" s="362" t="s">
        <v>1497</v>
      </c>
      <c r="C93" s="363" t="s">
        <v>1088</v>
      </c>
      <c r="D93" s="363" t="s">
        <v>1098</v>
      </c>
      <c r="E93" s="364">
        <v>560</v>
      </c>
      <c r="F93" s="192"/>
      <c r="G93" s="192"/>
      <c r="H93" s="192"/>
      <c r="I93" s="192"/>
    </row>
    <row r="94" spans="1:9">
      <c r="A94" s="192"/>
      <c r="B94" s="362" t="s">
        <v>1498</v>
      </c>
      <c r="C94" s="363" t="s">
        <v>964</v>
      </c>
      <c r="D94" s="363" t="s">
        <v>1099</v>
      </c>
      <c r="E94" s="364">
        <v>430</v>
      </c>
      <c r="F94" s="192"/>
      <c r="G94" s="192"/>
      <c r="H94" s="192"/>
      <c r="I94" s="192"/>
    </row>
    <row r="95" spans="1:9">
      <c r="A95" s="192"/>
      <c r="B95" s="362" t="s">
        <v>1499</v>
      </c>
      <c r="C95" s="363" t="s">
        <v>1500</v>
      </c>
      <c r="D95" s="363" t="s">
        <v>1098</v>
      </c>
      <c r="E95" s="364">
        <v>390</v>
      </c>
      <c r="F95" s="192"/>
      <c r="G95" s="192"/>
      <c r="H95" s="192"/>
      <c r="I95" s="192"/>
    </row>
    <row r="96" spans="1:9">
      <c r="A96" s="192"/>
      <c r="B96" s="362" t="s">
        <v>1501</v>
      </c>
      <c r="C96" s="363" t="s">
        <v>1088</v>
      </c>
      <c r="D96" s="363" t="s">
        <v>1098</v>
      </c>
      <c r="E96" s="364">
        <v>620</v>
      </c>
      <c r="F96" s="192"/>
      <c r="G96" s="192"/>
      <c r="H96" s="192"/>
      <c r="I96" s="192"/>
    </row>
    <row r="97" spans="1:9">
      <c r="A97" s="192"/>
      <c r="B97" s="192"/>
      <c r="C97" s="192"/>
      <c r="D97" s="192"/>
      <c r="E97" s="192"/>
      <c r="F97" s="192"/>
      <c r="G97" s="192"/>
      <c r="H97" s="192"/>
      <c r="I97" s="192"/>
    </row>
    <row r="98" spans="1:9" ht="15">
      <c r="A98" s="192"/>
      <c r="B98" s="192"/>
      <c r="C98" s="197" t="s">
        <v>1504</v>
      </c>
      <c r="D98" s="192"/>
      <c r="E98" s="192"/>
      <c r="F98" s="192"/>
      <c r="G98" s="192"/>
      <c r="H98" s="192"/>
      <c r="I98" s="192"/>
    </row>
    <row r="99" spans="1:9" ht="15">
      <c r="A99" s="192"/>
      <c r="B99" s="198" t="s">
        <v>927</v>
      </c>
      <c r="C99" s="397"/>
      <c r="D99" s="356"/>
      <c r="E99" s="192"/>
      <c r="F99" s="192"/>
      <c r="G99" s="192"/>
      <c r="H99" s="192"/>
      <c r="I99" s="192"/>
    </row>
    <row r="100" spans="1:9">
      <c r="A100" s="192"/>
      <c r="B100" s="356"/>
      <c r="C100" s="391"/>
      <c r="D100" s="192"/>
      <c r="E100" s="192"/>
      <c r="F100" s="192"/>
      <c r="G100" s="192"/>
      <c r="H100" s="192"/>
      <c r="I100" s="192"/>
    </row>
    <row r="101" spans="1:9">
      <c r="A101" s="192"/>
      <c r="B101" s="356"/>
      <c r="C101" s="378"/>
      <c r="D101" s="192"/>
      <c r="E101" s="192"/>
      <c r="F101" s="192"/>
      <c r="G101" s="192"/>
      <c r="H101" s="192"/>
      <c r="I101" s="192"/>
    </row>
    <row r="102" spans="1:9">
      <c r="A102" s="192"/>
      <c r="B102" s="356"/>
      <c r="C102" s="378"/>
      <c r="D102" s="192"/>
      <c r="E102" s="192"/>
      <c r="F102" s="192"/>
      <c r="G102" s="192"/>
      <c r="H102" s="192"/>
      <c r="I102" s="192"/>
    </row>
    <row r="103" spans="1:9">
      <c r="A103" s="192"/>
      <c r="B103" s="356"/>
      <c r="C103" s="378"/>
      <c r="D103" s="192"/>
      <c r="E103" s="192"/>
      <c r="F103" s="192"/>
      <c r="G103" s="192"/>
      <c r="H103" s="192"/>
      <c r="I103" s="192"/>
    </row>
    <row r="104" spans="1:9">
      <c r="A104" s="192"/>
      <c r="B104" s="356"/>
      <c r="C104" s="378"/>
      <c r="D104" s="192"/>
      <c r="E104" s="192"/>
      <c r="F104" s="192"/>
      <c r="G104" s="192"/>
      <c r="H104" s="192"/>
      <c r="I104" s="192"/>
    </row>
    <row r="105" spans="1:9">
      <c r="A105" s="192"/>
      <c r="B105" s="192"/>
      <c r="C105" s="192"/>
      <c r="D105" s="192"/>
      <c r="E105" s="192"/>
      <c r="F105" s="192"/>
      <c r="G105" s="192"/>
      <c r="H105" s="192"/>
      <c r="I105" s="192"/>
    </row>
    <row r="106" spans="1:9" ht="15">
      <c r="A106" s="192"/>
      <c r="B106" s="192"/>
      <c r="C106" s="192"/>
      <c r="D106" s="192"/>
      <c r="E106" s="192"/>
      <c r="F106" s="192"/>
      <c r="G106" s="192"/>
      <c r="H106" s="195" t="s">
        <v>909</v>
      </c>
      <c r="I106" s="196" t="str">
        <f>IF(C99="","À faire",IFERROR(IF(AND(C99="Martin",C100="Martin",C101="Dupont",C102="Bernard",C103="Dupont",COUNTA(C104:C104)=0),"✓ Correct","À revoir"),"À revoir"))</f>
        <v>À faire</v>
      </c>
    </row>
    <row r="107" spans="1:9">
      <c r="A107" s="192"/>
      <c r="B107" s="192"/>
      <c r="C107" s="192"/>
      <c r="D107" s="192"/>
      <c r="E107" s="192"/>
      <c r="F107" s="192"/>
      <c r="G107" s="192"/>
      <c r="H107" s="192"/>
      <c r="I107" s="192"/>
    </row>
    <row r="108" spans="1:9">
      <c r="A108" s="192"/>
      <c r="B108" s="192"/>
      <c r="C108" s="192"/>
      <c r="D108" s="192"/>
      <c r="E108" s="192"/>
      <c r="F108" s="192"/>
      <c r="G108" s="192"/>
      <c r="H108" s="192"/>
      <c r="I108" s="192"/>
    </row>
    <row r="109" spans="1:9" ht="24.95" customHeight="1">
      <c r="A109" s="192"/>
      <c r="B109" s="571" t="s">
        <v>1505</v>
      </c>
      <c r="C109" s="571"/>
      <c r="D109" s="571"/>
      <c r="E109" s="571"/>
      <c r="F109" s="571"/>
      <c r="G109" s="571"/>
      <c r="H109" s="193" t="s">
        <v>901</v>
      </c>
      <c r="I109" s="194" t="s">
        <v>1386</v>
      </c>
    </row>
    <row r="110" spans="1:9">
      <c r="A110" s="192"/>
      <c r="B110" s="192"/>
      <c r="C110" s="192"/>
      <c r="D110" s="192"/>
      <c r="E110" s="192"/>
      <c r="F110" s="192"/>
      <c r="G110" s="192"/>
      <c r="H110" s="192"/>
      <c r="I110" s="192"/>
    </row>
    <row r="111" spans="1:9" ht="42" customHeight="1">
      <c r="A111" s="192"/>
      <c r="B111" s="572" t="s">
        <v>1506</v>
      </c>
      <c r="C111" s="572"/>
      <c r="D111" s="572"/>
      <c r="E111" s="572"/>
      <c r="F111" s="572"/>
      <c r="G111" s="572"/>
      <c r="H111" s="572"/>
      <c r="I111" s="572"/>
    </row>
    <row r="112" spans="1:9">
      <c r="A112" s="192"/>
      <c r="B112" s="192"/>
      <c r="C112" s="192"/>
      <c r="D112" s="192"/>
      <c r="E112" s="192"/>
      <c r="F112" s="192"/>
      <c r="G112" s="192"/>
      <c r="H112" s="192"/>
      <c r="I112" s="192"/>
    </row>
    <row r="113" spans="1:9" ht="21.95" customHeight="1">
      <c r="A113" s="192"/>
      <c r="B113" s="197" t="s">
        <v>1272</v>
      </c>
      <c r="C113" s="197" t="s">
        <v>1087</v>
      </c>
      <c r="D113" s="197" t="s">
        <v>1097</v>
      </c>
      <c r="E113" s="197" t="s">
        <v>26</v>
      </c>
      <c r="F113" s="192"/>
      <c r="G113" s="192"/>
      <c r="H113" s="192"/>
      <c r="I113" s="192"/>
    </row>
    <row r="114" spans="1:9">
      <c r="A114" s="192"/>
      <c r="B114" s="362" t="s">
        <v>1493</v>
      </c>
      <c r="C114" s="363" t="s">
        <v>964</v>
      </c>
      <c r="D114" s="363" t="s">
        <v>1098</v>
      </c>
      <c r="E114" s="364">
        <v>480</v>
      </c>
      <c r="F114" s="192"/>
      <c r="G114" s="192"/>
      <c r="H114" s="192"/>
      <c r="I114" s="192"/>
    </row>
    <row r="115" spans="1:9">
      <c r="A115" s="192"/>
      <c r="B115" s="362" t="s">
        <v>1494</v>
      </c>
      <c r="C115" s="363" t="s">
        <v>1088</v>
      </c>
      <c r="D115" s="363" t="s">
        <v>1099</v>
      </c>
      <c r="E115" s="364">
        <v>320</v>
      </c>
      <c r="F115" s="192"/>
      <c r="G115" s="192"/>
      <c r="H115" s="192"/>
      <c r="I115" s="192"/>
    </row>
    <row r="116" spans="1:9">
      <c r="A116" s="192"/>
      <c r="B116" s="362" t="s">
        <v>1495</v>
      </c>
      <c r="C116" s="363" t="s">
        <v>964</v>
      </c>
      <c r="D116" s="363" t="s">
        <v>1098</v>
      </c>
      <c r="E116" s="364">
        <v>750</v>
      </c>
      <c r="F116" s="192"/>
      <c r="G116" s="192"/>
      <c r="H116" s="192"/>
      <c r="I116" s="192"/>
    </row>
    <row r="117" spans="1:9">
      <c r="A117" s="192"/>
      <c r="B117" s="362" t="s">
        <v>1496</v>
      </c>
      <c r="C117" s="363" t="s">
        <v>1089</v>
      </c>
      <c r="D117" s="363" t="s">
        <v>1105</v>
      </c>
      <c r="E117" s="364">
        <v>210</v>
      </c>
      <c r="F117" s="192"/>
      <c r="G117" s="192"/>
      <c r="H117" s="192"/>
      <c r="I117" s="192"/>
    </row>
    <row r="118" spans="1:9">
      <c r="A118" s="192"/>
      <c r="B118" s="362" t="s">
        <v>1497</v>
      </c>
      <c r="C118" s="363" t="s">
        <v>1088</v>
      </c>
      <c r="D118" s="363" t="s">
        <v>1098</v>
      </c>
      <c r="E118" s="364">
        <v>560</v>
      </c>
      <c r="F118" s="192"/>
      <c r="G118" s="192"/>
      <c r="H118" s="192"/>
      <c r="I118" s="192"/>
    </row>
    <row r="119" spans="1:9">
      <c r="A119" s="192"/>
      <c r="B119" s="362" t="s">
        <v>1498</v>
      </c>
      <c r="C119" s="363" t="s">
        <v>964</v>
      </c>
      <c r="D119" s="363" t="s">
        <v>1099</v>
      </c>
      <c r="E119" s="364">
        <v>430</v>
      </c>
      <c r="F119" s="192"/>
      <c r="G119" s="192"/>
      <c r="H119" s="192"/>
      <c r="I119" s="192"/>
    </row>
    <row r="120" spans="1:9">
      <c r="A120" s="192"/>
      <c r="B120" s="362" t="s">
        <v>1499</v>
      </c>
      <c r="C120" s="363" t="s">
        <v>1500</v>
      </c>
      <c r="D120" s="363" t="s">
        <v>1098</v>
      </c>
      <c r="E120" s="364">
        <v>390</v>
      </c>
      <c r="F120" s="192"/>
      <c r="G120" s="192"/>
      <c r="H120" s="192"/>
      <c r="I120" s="192"/>
    </row>
    <row r="121" spans="1:9">
      <c r="A121" s="192"/>
      <c r="B121" s="362" t="s">
        <v>1501</v>
      </c>
      <c r="C121" s="363" t="s">
        <v>1088</v>
      </c>
      <c r="D121" s="363" t="s">
        <v>1098</v>
      </c>
      <c r="E121" s="364">
        <v>620</v>
      </c>
      <c r="F121" s="192"/>
      <c r="G121" s="192"/>
      <c r="H121" s="192"/>
      <c r="I121" s="192"/>
    </row>
    <row r="122" spans="1:9">
      <c r="A122" s="192"/>
      <c r="B122" s="192"/>
      <c r="C122" s="192"/>
      <c r="D122" s="192"/>
      <c r="E122" s="192"/>
      <c r="F122" s="192"/>
      <c r="G122" s="192"/>
      <c r="H122" s="192"/>
      <c r="I122" s="192"/>
    </row>
    <row r="123" spans="1:9" ht="15">
      <c r="A123" s="192"/>
      <c r="B123" s="192"/>
      <c r="C123" s="197" t="s">
        <v>906</v>
      </c>
      <c r="D123" s="192"/>
      <c r="E123" s="192"/>
      <c r="F123" s="192"/>
      <c r="G123" s="192"/>
      <c r="H123" s="192"/>
      <c r="I123" s="192"/>
    </row>
    <row r="124" spans="1:9" ht="15">
      <c r="A124" s="192"/>
      <c r="B124" s="198" t="s">
        <v>927</v>
      </c>
      <c r="C124" s="397"/>
      <c r="D124" s="356"/>
      <c r="E124" s="192"/>
      <c r="F124" s="192"/>
      <c r="G124" s="192"/>
      <c r="H124" s="192"/>
      <c r="I124" s="192"/>
    </row>
    <row r="125" spans="1:9">
      <c r="A125" s="192"/>
      <c r="B125" s="356"/>
      <c r="C125" s="391"/>
      <c r="D125" s="192"/>
      <c r="E125" s="192"/>
      <c r="F125" s="192"/>
      <c r="G125" s="192"/>
      <c r="H125" s="192"/>
      <c r="I125" s="192"/>
    </row>
    <row r="126" spans="1:9">
      <c r="A126" s="192"/>
      <c r="B126" s="192"/>
      <c r="C126" s="192"/>
      <c r="D126" s="192"/>
      <c r="E126" s="192"/>
      <c r="F126" s="192"/>
      <c r="G126" s="192"/>
      <c r="H126" s="192"/>
      <c r="I126" s="192"/>
    </row>
    <row r="127" spans="1:9" ht="15">
      <c r="A127" s="192"/>
      <c r="B127" s="192"/>
      <c r="C127" s="192"/>
      <c r="D127" s="192"/>
      <c r="E127" s="192"/>
      <c r="F127" s="192"/>
      <c r="G127" s="192"/>
      <c r="H127" s="195" t="s">
        <v>909</v>
      </c>
      <c r="I127" s="196" t="str">
        <f>IF(C124="","À faire",IFERROR(IF(AND(C124="Aucune commande",COUNTA(C125:C125)=0),"✓ Correct","À revoir"),"À revoir"))</f>
        <v>À faire</v>
      </c>
    </row>
    <row r="128" spans="1:9">
      <c r="A128" s="192"/>
      <c r="B128" s="192"/>
      <c r="C128" s="192"/>
      <c r="D128" s="192"/>
      <c r="E128" s="192"/>
      <c r="F128" s="192"/>
      <c r="G128" s="192"/>
      <c r="H128" s="192"/>
      <c r="I128" s="192"/>
    </row>
    <row r="129" spans="1:9">
      <c r="A129" s="192"/>
      <c r="B129" s="192"/>
      <c r="C129" s="192"/>
      <c r="D129" s="192"/>
      <c r="E129" s="192"/>
      <c r="F129" s="192"/>
      <c r="G129" s="192"/>
      <c r="H129" s="192"/>
      <c r="I129" s="192"/>
    </row>
    <row r="130" spans="1:9" ht="24.95" customHeight="1">
      <c r="A130" s="192"/>
      <c r="B130" s="571" t="s">
        <v>1507</v>
      </c>
      <c r="C130" s="571"/>
      <c r="D130" s="571"/>
      <c r="E130" s="571"/>
      <c r="F130" s="571"/>
      <c r="G130" s="571"/>
      <c r="H130" s="193" t="s">
        <v>930</v>
      </c>
      <c r="I130" s="194" t="s">
        <v>1386</v>
      </c>
    </row>
    <row r="131" spans="1:9">
      <c r="A131" s="192"/>
      <c r="B131" s="192"/>
      <c r="C131" s="192"/>
      <c r="D131" s="192"/>
      <c r="E131" s="192"/>
      <c r="F131" s="192"/>
      <c r="G131" s="192"/>
      <c r="H131" s="192"/>
      <c r="I131" s="192"/>
    </row>
    <row r="132" spans="1:9" ht="54" customHeight="1">
      <c r="A132" s="192"/>
      <c r="B132" s="572" t="s">
        <v>1508</v>
      </c>
      <c r="C132" s="572"/>
      <c r="D132" s="572"/>
      <c r="E132" s="572"/>
      <c r="F132" s="572"/>
      <c r="G132" s="572"/>
      <c r="H132" s="572"/>
      <c r="I132" s="572"/>
    </row>
    <row r="133" spans="1:9">
      <c r="A133" s="192"/>
      <c r="B133" s="192"/>
      <c r="C133" s="192"/>
      <c r="D133" s="192"/>
      <c r="E133" s="192"/>
      <c r="F133" s="192"/>
      <c r="G133" s="192"/>
      <c r="H133" s="192"/>
      <c r="I133" s="192"/>
    </row>
    <row r="134" spans="1:9" ht="21.95" customHeight="1">
      <c r="A134" s="192"/>
      <c r="B134" s="197" t="s">
        <v>1272</v>
      </c>
      <c r="C134" s="197" t="s">
        <v>1087</v>
      </c>
      <c r="D134" s="197" t="s">
        <v>1097</v>
      </c>
      <c r="E134" s="197" t="s">
        <v>26</v>
      </c>
      <c r="F134" s="192"/>
      <c r="G134" s="192"/>
      <c r="H134" s="192"/>
      <c r="I134" s="192"/>
    </row>
    <row r="135" spans="1:9">
      <c r="A135" s="192"/>
      <c r="B135" s="362" t="s">
        <v>1493</v>
      </c>
      <c r="C135" s="363" t="s">
        <v>964</v>
      </c>
      <c r="D135" s="363" t="s">
        <v>1098</v>
      </c>
      <c r="E135" s="364">
        <v>480</v>
      </c>
      <c r="F135" s="192"/>
      <c r="G135" s="192"/>
      <c r="H135" s="192"/>
      <c r="I135" s="192"/>
    </row>
    <row r="136" spans="1:9">
      <c r="A136" s="192"/>
      <c r="B136" s="362" t="s">
        <v>1494</v>
      </c>
      <c r="C136" s="363" t="s">
        <v>1088</v>
      </c>
      <c r="D136" s="363" t="s">
        <v>1099</v>
      </c>
      <c r="E136" s="364">
        <v>320</v>
      </c>
      <c r="F136" s="192"/>
      <c r="G136" s="192"/>
      <c r="H136" s="192"/>
      <c r="I136" s="192"/>
    </row>
    <row r="137" spans="1:9">
      <c r="A137" s="192"/>
      <c r="B137" s="362" t="s">
        <v>1495</v>
      </c>
      <c r="C137" s="363" t="s">
        <v>964</v>
      </c>
      <c r="D137" s="363" t="s">
        <v>1098</v>
      </c>
      <c r="E137" s="364">
        <v>750</v>
      </c>
      <c r="F137" s="192"/>
      <c r="G137" s="192"/>
      <c r="H137" s="192"/>
      <c r="I137" s="192"/>
    </row>
    <row r="138" spans="1:9">
      <c r="A138" s="192"/>
      <c r="B138" s="362" t="s">
        <v>1496</v>
      </c>
      <c r="C138" s="363" t="s">
        <v>1089</v>
      </c>
      <c r="D138" s="363" t="s">
        <v>1105</v>
      </c>
      <c r="E138" s="364">
        <v>210</v>
      </c>
      <c r="F138" s="192"/>
      <c r="G138" s="192"/>
      <c r="H138" s="192"/>
      <c r="I138" s="192"/>
    </row>
    <row r="139" spans="1:9">
      <c r="A139" s="192"/>
      <c r="B139" s="362" t="s">
        <v>1497</v>
      </c>
      <c r="C139" s="363" t="s">
        <v>1088</v>
      </c>
      <c r="D139" s="363" t="s">
        <v>1098</v>
      </c>
      <c r="E139" s="364">
        <v>560</v>
      </c>
      <c r="F139" s="192"/>
      <c r="G139" s="192"/>
      <c r="H139" s="192"/>
      <c r="I139" s="192"/>
    </row>
    <row r="140" spans="1:9">
      <c r="A140" s="192"/>
      <c r="B140" s="362" t="s">
        <v>1498</v>
      </c>
      <c r="C140" s="363" t="s">
        <v>964</v>
      </c>
      <c r="D140" s="363" t="s">
        <v>1099</v>
      </c>
      <c r="E140" s="364">
        <v>430</v>
      </c>
      <c r="F140" s="192"/>
      <c r="G140" s="192"/>
      <c r="H140" s="192"/>
      <c r="I140" s="192"/>
    </row>
    <row r="141" spans="1:9">
      <c r="A141" s="192"/>
      <c r="B141" s="362" t="s">
        <v>1499</v>
      </c>
      <c r="C141" s="363" t="s">
        <v>1500</v>
      </c>
      <c r="D141" s="363" t="s">
        <v>1098</v>
      </c>
      <c r="E141" s="364">
        <v>390</v>
      </c>
      <c r="F141" s="192"/>
      <c r="G141" s="192"/>
      <c r="H141" s="192"/>
      <c r="I141" s="192"/>
    </row>
    <row r="142" spans="1:9">
      <c r="A142" s="192"/>
      <c r="B142" s="362" t="s">
        <v>1501</v>
      </c>
      <c r="C142" s="363" t="s">
        <v>1088</v>
      </c>
      <c r="D142" s="363" t="s">
        <v>1098</v>
      </c>
      <c r="E142" s="364">
        <v>620</v>
      </c>
      <c r="F142" s="192"/>
      <c r="G142" s="192"/>
      <c r="H142" s="192"/>
      <c r="I142" s="192"/>
    </row>
    <row r="143" spans="1:9">
      <c r="A143" s="192"/>
      <c r="B143" s="192"/>
      <c r="C143" s="192"/>
      <c r="D143" s="192"/>
      <c r="E143" s="192"/>
      <c r="F143" s="192"/>
      <c r="G143" s="192"/>
      <c r="H143" s="192"/>
      <c r="I143" s="192"/>
    </row>
    <row r="144" spans="1:9" ht="21.95" customHeight="1">
      <c r="A144" s="192"/>
      <c r="B144" s="192"/>
      <c r="C144" s="197" t="s">
        <v>1272</v>
      </c>
      <c r="D144" s="373" t="s">
        <v>1087</v>
      </c>
      <c r="E144" s="373" t="s">
        <v>1097</v>
      </c>
      <c r="F144" s="373" t="s">
        <v>26</v>
      </c>
      <c r="G144" s="192"/>
      <c r="H144" s="192"/>
      <c r="I144" s="192"/>
    </row>
    <row r="145" spans="1:9" ht="15">
      <c r="A145" s="192"/>
      <c r="B145" s="198" t="s">
        <v>927</v>
      </c>
      <c r="C145" s="397"/>
      <c r="D145" s="376"/>
      <c r="E145" s="376"/>
      <c r="F145" s="377"/>
      <c r="G145" s="192"/>
      <c r="H145" s="192"/>
      <c r="I145" s="192"/>
    </row>
    <row r="146" spans="1:9">
      <c r="A146" s="192"/>
      <c r="B146" s="356"/>
      <c r="C146" s="390"/>
      <c r="D146" s="376"/>
      <c r="E146" s="376"/>
      <c r="F146" s="377"/>
      <c r="G146" s="192"/>
      <c r="H146" s="192"/>
      <c r="I146" s="192"/>
    </row>
    <row r="147" spans="1:9">
      <c r="A147" s="192"/>
      <c r="B147" s="356"/>
      <c r="C147" s="375"/>
      <c r="D147" s="376"/>
      <c r="E147" s="376"/>
      <c r="F147" s="377"/>
      <c r="G147" s="192"/>
      <c r="H147" s="192"/>
      <c r="I147" s="192"/>
    </row>
    <row r="148" spans="1:9">
      <c r="A148" s="192"/>
      <c r="B148" s="356"/>
      <c r="C148" s="375"/>
      <c r="D148" s="376"/>
      <c r="E148" s="376"/>
      <c r="F148" s="377"/>
      <c r="G148" s="192"/>
      <c r="H148" s="192"/>
      <c r="I148" s="192"/>
    </row>
    <row r="149" spans="1:9">
      <c r="A149" s="192"/>
      <c r="B149" s="192"/>
      <c r="C149" s="192"/>
      <c r="D149" s="192"/>
      <c r="E149" s="192"/>
      <c r="F149" s="192"/>
      <c r="G149" s="192"/>
      <c r="H149" s="192"/>
      <c r="I149" s="192"/>
    </row>
    <row r="150" spans="1:9" ht="15">
      <c r="A150" s="192"/>
      <c r="B150" s="192"/>
      <c r="C150" s="192"/>
      <c r="D150" s="192"/>
      <c r="E150" s="192"/>
      <c r="F150" s="192"/>
      <c r="G150" s="192"/>
      <c r="H150" s="195" t="s">
        <v>909</v>
      </c>
      <c r="I150" s="196" t="str">
        <f>IF(C145="","À faire",IFERROR(IF(AND(C145="C-101",D145="Martin",E145="Payée",ABS(F145-480)&lt;0.0001,C146="C-103",D146="Martin",E146="Payée",ABS(F146-750)&lt;0.0001,COUNTA(C147:F147)=0),"✓ Correct","À revoir"),"À revoir"))</f>
        <v>À faire</v>
      </c>
    </row>
    <row r="151" spans="1:9">
      <c r="A151" s="192"/>
      <c r="B151" s="192"/>
      <c r="C151" s="192"/>
      <c r="D151" s="192"/>
      <c r="E151" s="192"/>
      <c r="F151" s="192"/>
      <c r="G151" s="192"/>
      <c r="H151" s="192"/>
      <c r="I151" s="192"/>
    </row>
    <row r="152" spans="1:9">
      <c r="A152" s="192"/>
      <c r="B152" s="192"/>
      <c r="C152" s="192"/>
      <c r="D152" s="192"/>
      <c r="E152" s="192"/>
      <c r="F152" s="192"/>
      <c r="G152" s="192"/>
      <c r="H152" s="192"/>
      <c r="I152" s="192"/>
    </row>
    <row r="153" spans="1:9" ht="24.95" customHeight="1">
      <c r="A153" s="192"/>
      <c r="B153" s="571" t="s">
        <v>1509</v>
      </c>
      <c r="C153" s="571"/>
      <c r="D153" s="571"/>
      <c r="E153" s="571"/>
      <c r="F153" s="571"/>
      <c r="G153" s="571"/>
      <c r="H153" s="193" t="s">
        <v>930</v>
      </c>
      <c r="I153" s="194" t="s">
        <v>1386</v>
      </c>
    </row>
    <row r="154" spans="1:9">
      <c r="A154" s="192"/>
      <c r="B154" s="192"/>
      <c r="C154" s="192"/>
      <c r="D154" s="192"/>
      <c r="E154" s="192"/>
      <c r="F154" s="192"/>
      <c r="G154" s="192"/>
      <c r="H154" s="192"/>
      <c r="I154" s="192"/>
    </row>
    <row r="155" spans="1:9" ht="42" customHeight="1">
      <c r="A155" s="192"/>
      <c r="B155" s="572" t="s">
        <v>1510</v>
      </c>
      <c r="C155" s="572"/>
      <c r="D155" s="572"/>
      <c r="E155" s="572"/>
      <c r="F155" s="572"/>
      <c r="G155" s="572"/>
      <c r="H155" s="572"/>
      <c r="I155" s="572"/>
    </row>
    <row r="156" spans="1:9">
      <c r="A156" s="192"/>
      <c r="B156" s="192"/>
      <c r="C156" s="192"/>
      <c r="D156" s="192"/>
      <c r="E156" s="192"/>
      <c r="F156" s="192"/>
      <c r="G156" s="192"/>
      <c r="H156" s="192"/>
      <c r="I156" s="192"/>
    </row>
    <row r="157" spans="1:9" ht="21.95" customHeight="1">
      <c r="A157" s="192"/>
      <c r="B157" s="197" t="s">
        <v>1272</v>
      </c>
      <c r="C157" s="197" t="s">
        <v>1087</v>
      </c>
      <c r="D157" s="197" t="s">
        <v>1097</v>
      </c>
      <c r="E157" s="197" t="s">
        <v>26</v>
      </c>
      <c r="F157" s="192"/>
      <c r="G157" s="192"/>
      <c r="H157" s="192"/>
      <c r="I157" s="192"/>
    </row>
    <row r="158" spans="1:9">
      <c r="A158" s="192"/>
      <c r="B158" s="362" t="s">
        <v>1493</v>
      </c>
      <c r="C158" s="363" t="s">
        <v>964</v>
      </c>
      <c r="D158" s="363" t="s">
        <v>1098</v>
      </c>
      <c r="E158" s="364">
        <v>480</v>
      </c>
      <c r="F158" s="192"/>
      <c r="G158" s="192"/>
      <c r="H158" s="192"/>
      <c r="I158" s="192"/>
    </row>
    <row r="159" spans="1:9">
      <c r="A159" s="192"/>
      <c r="B159" s="362" t="s">
        <v>1494</v>
      </c>
      <c r="C159" s="363" t="s">
        <v>1088</v>
      </c>
      <c r="D159" s="363" t="s">
        <v>1099</v>
      </c>
      <c r="E159" s="364">
        <v>320</v>
      </c>
      <c r="F159" s="192"/>
      <c r="G159" s="192"/>
      <c r="H159" s="192"/>
      <c r="I159" s="192"/>
    </row>
    <row r="160" spans="1:9">
      <c r="A160" s="192"/>
      <c r="B160" s="362" t="s">
        <v>1495</v>
      </c>
      <c r="C160" s="363" t="s">
        <v>964</v>
      </c>
      <c r="D160" s="363" t="s">
        <v>1098</v>
      </c>
      <c r="E160" s="364">
        <v>750</v>
      </c>
      <c r="F160" s="192"/>
      <c r="G160" s="192"/>
      <c r="H160" s="192"/>
      <c r="I160" s="192"/>
    </row>
    <row r="161" spans="1:9">
      <c r="A161" s="192"/>
      <c r="B161" s="362" t="s">
        <v>1496</v>
      </c>
      <c r="C161" s="363" t="s">
        <v>1089</v>
      </c>
      <c r="D161" s="363" t="s">
        <v>1105</v>
      </c>
      <c r="E161" s="364">
        <v>210</v>
      </c>
      <c r="F161" s="192"/>
      <c r="G161" s="192"/>
      <c r="H161" s="192"/>
      <c r="I161" s="192"/>
    </row>
    <row r="162" spans="1:9">
      <c r="A162" s="192"/>
      <c r="B162" s="362" t="s">
        <v>1497</v>
      </c>
      <c r="C162" s="363" t="s">
        <v>1088</v>
      </c>
      <c r="D162" s="363" t="s">
        <v>1098</v>
      </c>
      <c r="E162" s="364">
        <v>560</v>
      </c>
      <c r="F162" s="192"/>
      <c r="G162" s="192"/>
      <c r="H162" s="192"/>
      <c r="I162" s="192"/>
    </row>
    <row r="163" spans="1:9">
      <c r="A163" s="192"/>
      <c r="B163" s="362" t="s">
        <v>1498</v>
      </c>
      <c r="C163" s="363" t="s">
        <v>964</v>
      </c>
      <c r="D163" s="363" t="s">
        <v>1099</v>
      </c>
      <c r="E163" s="364">
        <v>430</v>
      </c>
      <c r="F163" s="192"/>
      <c r="G163" s="192"/>
      <c r="H163" s="192"/>
      <c r="I163" s="192"/>
    </row>
    <row r="164" spans="1:9">
      <c r="A164" s="192"/>
      <c r="B164" s="362" t="s">
        <v>1499</v>
      </c>
      <c r="C164" s="363" t="s">
        <v>1500</v>
      </c>
      <c r="D164" s="363" t="s">
        <v>1098</v>
      </c>
      <c r="E164" s="364">
        <v>390</v>
      </c>
      <c r="F164" s="192"/>
      <c r="G164" s="192"/>
      <c r="H164" s="192"/>
      <c r="I164" s="192"/>
    </row>
    <row r="165" spans="1:9">
      <c r="A165" s="192"/>
      <c r="B165" s="362" t="s">
        <v>1501</v>
      </c>
      <c r="C165" s="363" t="s">
        <v>1088</v>
      </c>
      <c r="D165" s="363" t="s">
        <v>1098</v>
      </c>
      <c r="E165" s="364">
        <v>620</v>
      </c>
      <c r="F165" s="192"/>
      <c r="G165" s="192"/>
      <c r="H165" s="192"/>
      <c r="I165" s="192"/>
    </row>
    <row r="166" spans="1:9">
      <c r="A166" s="192"/>
      <c r="B166" s="192"/>
      <c r="C166" s="192"/>
      <c r="D166" s="192"/>
      <c r="E166" s="192"/>
      <c r="F166" s="192"/>
      <c r="G166" s="192"/>
      <c r="H166" s="192"/>
      <c r="I166" s="192"/>
    </row>
    <row r="167" spans="1:9" ht="21.95" customHeight="1">
      <c r="A167" s="192"/>
      <c r="B167" s="192"/>
      <c r="C167" s="197" t="s">
        <v>1272</v>
      </c>
      <c r="D167" s="373" t="s">
        <v>1087</v>
      </c>
      <c r="E167" s="373" t="s">
        <v>1097</v>
      </c>
      <c r="F167" s="373" t="s">
        <v>26</v>
      </c>
      <c r="G167" s="192"/>
      <c r="H167" s="192"/>
      <c r="I167" s="192"/>
    </row>
    <row r="168" spans="1:9" ht="15">
      <c r="A168" s="192"/>
      <c r="B168" s="198" t="s">
        <v>927</v>
      </c>
      <c r="C168" s="397"/>
      <c r="D168" s="376"/>
      <c r="E168" s="376"/>
      <c r="F168" s="377"/>
      <c r="G168" s="192"/>
      <c r="H168" s="192"/>
      <c r="I168" s="192"/>
    </row>
    <row r="169" spans="1:9">
      <c r="A169" s="192"/>
      <c r="B169" s="356"/>
      <c r="C169" s="390"/>
      <c r="D169" s="376"/>
      <c r="E169" s="376"/>
      <c r="F169" s="377"/>
      <c r="G169" s="192"/>
      <c r="H169" s="192"/>
      <c r="I169" s="192"/>
    </row>
    <row r="170" spans="1:9">
      <c r="A170" s="192"/>
      <c r="B170" s="356"/>
      <c r="C170" s="375"/>
      <c r="D170" s="376"/>
      <c r="E170" s="376"/>
      <c r="F170" s="377"/>
      <c r="G170" s="192"/>
      <c r="H170" s="192"/>
      <c r="I170" s="192"/>
    </row>
    <row r="171" spans="1:9">
      <c r="A171" s="192"/>
      <c r="B171" s="356"/>
      <c r="C171" s="375"/>
      <c r="D171" s="376"/>
      <c r="E171" s="376"/>
      <c r="F171" s="377"/>
      <c r="G171" s="192"/>
      <c r="H171" s="192"/>
      <c r="I171" s="192"/>
    </row>
    <row r="172" spans="1:9">
      <c r="A172" s="192"/>
      <c r="B172" s="356"/>
      <c r="C172" s="375"/>
      <c r="D172" s="376"/>
      <c r="E172" s="376"/>
      <c r="F172" s="377"/>
      <c r="G172" s="192"/>
      <c r="H172" s="192"/>
      <c r="I172" s="192"/>
    </row>
    <row r="173" spans="1:9">
      <c r="A173" s="192"/>
      <c r="B173" s="356"/>
      <c r="C173" s="375"/>
      <c r="D173" s="376"/>
      <c r="E173" s="376"/>
      <c r="F173" s="377"/>
      <c r="G173" s="192"/>
      <c r="H173" s="192"/>
      <c r="I173" s="192"/>
    </row>
    <row r="174" spans="1:9">
      <c r="A174" s="192"/>
      <c r="B174" s="356"/>
      <c r="C174" s="375"/>
      <c r="D174" s="376"/>
      <c r="E174" s="376"/>
      <c r="F174" s="377"/>
      <c r="G174" s="192"/>
      <c r="H174" s="192"/>
      <c r="I174" s="192"/>
    </row>
    <row r="175" spans="1:9">
      <c r="A175" s="192"/>
      <c r="B175" s="192"/>
      <c r="C175" s="192"/>
      <c r="D175" s="192"/>
      <c r="E175" s="192"/>
      <c r="F175" s="192"/>
      <c r="G175" s="192"/>
      <c r="H175" s="192"/>
      <c r="I175" s="192"/>
    </row>
    <row r="176" spans="1:9" ht="15">
      <c r="A176" s="192"/>
      <c r="B176" s="192"/>
      <c r="C176" s="192"/>
      <c r="D176" s="192"/>
      <c r="E176" s="192"/>
      <c r="F176" s="192"/>
      <c r="G176" s="192"/>
      <c r="H176" s="195" t="s">
        <v>909</v>
      </c>
      <c r="I176" s="196" t="str">
        <f>IF(C168="","À faire",IFERROR(IF(AND(C168="C-101",D168="Martin",E168="Payée",ABS(F168-480)&lt;0.0001,C169="C-102",D169="Dupont",E169="En attente",ABS(F169-320)&lt;0.0001,C170="C-103",D170="Martin",E170="Payée",ABS(F170-750)&lt;0.0001,C171="C-105",D171="Dupont",E171="Payée",ABS(F171-560)&lt;0.0001,C172="C-106",D172="Martin",E172="En attente",ABS(F172-430)&lt;0.0001,C173="C-108",D173="Dupont",E173="Payée",ABS(F173-620)&lt;0.0001,COUNTA(C174:F174)=0),"✓ Correct","À revoir"),"À revoir"))</f>
        <v>À faire</v>
      </c>
    </row>
    <row r="177" spans="1:9">
      <c r="A177" s="192"/>
      <c r="B177" s="192"/>
      <c r="C177" s="192"/>
      <c r="D177" s="192"/>
      <c r="E177" s="192"/>
      <c r="F177" s="192"/>
      <c r="G177" s="192"/>
      <c r="H177" s="192"/>
      <c r="I177" s="192"/>
    </row>
    <row r="178" spans="1:9">
      <c r="A178" s="192"/>
      <c r="B178" s="192"/>
      <c r="C178" s="192"/>
      <c r="D178" s="192"/>
      <c r="E178" s="192"/>
      <c r="F178" s="192"/>
      <c r="G178" s="192"/>
      <c r="H178" s="192"/>
      <c r="I178" s="192"/>
    </row>
    <row r="179" spans="1:9" ht="24.95" customHeight="1">
      <c r="A179" s="192"/>
      <c r="B179" s="571" t="s">
        <v>1511</v>
      </c>
      <c r="C179" s="571"/>
      <c r="D179" s="571"/>
      <c r="E179" s="571"/>
      <c r="F179" s="571"/>
      <c r="G179" s="571"/>
      <c r="H179" s="193" t="s">
        <v>930</v>
      </c>
      <c r="I179" s="194" t="s">
        <v>1386</v>
      </c>
    </row>
    <row r="180" spans="1:9">
      <c r="A180" s="192"/>
      <c r="B180" s="192"/>
      <c r="C180" s="192"/>
      <c r="D180" s="192"/>
      <c r="E180" s="192"/>
      <c r="F180" s="192"/>
      <c r="G180" s="192"/>
      <c r="H180" s="192"/>
      <c r="I180" s="192"/>
    </row>
    <row r="181" spans="1:9" ht="42" customHeight="1">
      <c r="A181" s="192"/>
      <c r="B181" s="572" t="s">
        <v>1512</v>
      </c>
      <c r="C181" s="572"/>
      <c r="D181" s="572"/>
      <c r="E181" s="572"/>
      <c r="F181" s="572"/>
      <c r="G181" s="572"/>
      <c r="H181" s="572"/>
      <c r="I181" s="572"/>
    </row>
    <row r="182" spans="1:9">
      <c r="A182" s="192"/>
      <c r="B182" s="192"/>
      <c r="C182" s="192"/>
      <c r="D182" s="192"/>
      <c r="E182" s="192"/>
      <c r="F182" s="192"/>
      <c r="G182" s="192"/>
      <c r="H182" s="192"/>
      <c r="I182" s="192"/>
    </row>
    <row r="183" spans="1:9" ht="21.95" customHeight="1">
      <c r="A183" s="192"/>
      <c r="B183" s="197" t="s">
        <v>1272</v>
      </c>
      <c r="C183" s="197" t="s">
        <v>1087</v>
      </c>
      <c r="D183" s="197" t="s">
        <v>1097</v>
      </c>
      <c r="E183" s="197" t="s">
        <v>26</v>
      </c>
      <c r="F183" s="192"/>
      <c r="G183" s="192"/>
      <c r="H183" s="192"/>
      <c r="I183" s="192"/>
    </row>
    <row r="184" spans="1:9">
      <c r="A184" s="192"/>
      <c r="B184" s="362" t="s">
        <v>1493</v>
      </c>
      <c r="C184" s="363" t="s">
        <v>964</v>
      </c>
      <c r="D184" s="363" t="s">
        <v>1098</v>
      </c>
      <c r="E184" s="364">
        <v>480</v>
      </c>
      <c r="F184" s="192"/>
      <c r="G184" s="192"/>
      <c r="H184" s="192"/>
      <c r="I184" s="192"/>
    </row>
    <row r="185" spans="1:9">
      <c r="A185" s="192"/>
      <c r="B185" s="362" t="s">
        <v>1494</v>
      </c>
      <c r="C185" s="363" t="s">
        <v>1088</v>
      </c>
      <c r="D185" s="363" t="s">
        <v>1099</v>
      </c>
      <c r="E185" s="364">
        <v>320</v>
      </c>
      <c r="F185" s="192"/>
      <c r="G185" s="192"/>
      <c r="H185" s="192"/>
      <c r="I185" s="192"/>
    </row>
    <row r="186" spans="1:9">
      <c r="A186" s="192"/>
      <c r="B186" s="362" t="s">
        <v>1495</v>
      </c>
      <c r="C186" s="363" t="s">
        <v>964</v>
      </c>
      <c r="D186" s="363" t="s">
        <v>1098</v>
      </c>
      <c r="E186" s="364">
        <v>750</v>
      </c>
      <c r="F186" s="192"/>
      <c r="G186" s="192"/>
      <c r="H186" s="192"/>
      <c r="I186" s="192"/>
    </row>
    <row r="187" spans="1:9">
      <c r="A187" s="192"/>
      <c r="B187" s="362" t="s">
        <v>1496</v>
      </c>
      <c r="C187" s="363" t="s">
        <v>1089</v>
      </c>
      <c r="D187" s="363" t="s">
        <v>1105</v>
      </c>
      <c r="E187" s="364">
        <v>210</v>
      </c>
      <c r="F187" s="192"/>
      <c r="G187" s="192"/>
      <c r="H187" s="192"/>
      <c r="I187" s="192"/>
    </row>
    <row r="188" spans="1:9">
      <c r="A188" s="192"/>
      <c r="B188" s="362" t="s">
        <v>1497</v>
      </c>
      <c r="C188" s="363" t="s">
        <v>1088</v>
      </c>
      <c r="D188" s="363" t="s">
        <v>1098</v>
      </c>
      <c r="E188" s="364">
        <v>560</v>
      </c>
      <c r="F188" s="192"/>
      <c r="G188" s="192"/>
      <c r="H188" s="192"/>
      <c r="I188" s="192"/>
    </row>
    <row r="189" spans="1:9">
      <c r="A189" s="192"/>
      <c r="B189" s="362" t="s">
        <v>1498</v>
      </c>
      <c r="C189" s="363" t="s">
        <v>964</v>
      </c>
      <c r="D189" s="363" t="s">
        <v>1099</v>
      </c>
      <c r="E189" s="364">
        <v>430</v>
      </c>
      <c r="F189" s="192"/>
      <c r="G189" s="192"/>
      <c r="H189" s="192"/>
      <c r="I189" s="192"/>
    </row>
    <row r="190" spans="1:9">
      <c r="A190" s="192"/>
      <c r="B190" s="362" t="s">
        <v>1499</v>
      </c>
      <c r="C190" s="363" t="s">
        <v>1500</v>
      </c>
      <c r="D190" s="363" t="s">
        <v>1098</v>
      </c>
      <c r="E190" s="364">
        <v>390</v>
      </c>
      <c r="F190" s="192"/>
      <c r="G190" s="192"/>
      <c r="H190" s="192"/>
      <c r="I190" s="192"/>
    </row>
    <row r="191" spans="1:9">
      <c r="A191" s="192"/>
      <c r="B191" s="362" t="s">
        <v>1501</v>
      </c>
      <c r="C191" s="363" t="s">
        <v>1088</v>
      </c>
      <c r="D191" s="363" t="s">
        <v>1098</v>
      </c>
      <c r="E191" s="364">
        <v>620</v>
      </c>
      <c r="F191" s="192"/>
      <c r="G191" s="192"/>
      <c r="H191" s="192"/>
      <c r="I191" s="192"/>
    </row>
    <row r="192" spans="1:9">
      <c r="A192" s="192"/>
      <c r="B192" s="192"/>
      <c r="C192" s="192"/>
      <c r="D192" s="192"/>
      <c r="E192" s="192"/>
      <c r="F192" s="192"/>
      <c r="G192" s="192"/>
      <c r="H192" s="192"/>
      <c r="I192" s="192"/>
    </row>
    <row r="193" spans="1:9" ht="15">
      <c r="A193" s="192"/>
      <c r="B193" s="192"/>
      <c r="C193" s="197" t="s">
        <v>1513</v>
      </c>
      <c r="D193" s="192"/>
      <c r="E193" s="192"/>
      <c r="F193" s="192"/>
      <c r="G193" s="192"/>
      <c r="H193" s="192"/>
      <c r="I193" s="192"/>
    </row>
    <row r="194" spans="1:9" ht="15">
      <c r="A194" s="192"/>
      <c r="B194" s="198" t="s">
        <v>927</v>
      </c>
      <c r="C194" s="397"/>
      <c r="D194" s="356"/>
      <c r="E194" s="192"/>
      <c r="F194" s="192"/>
      <c r="G194" s="192"/>
      <c r="H194" s="192"/>
      <c r="I194" s="192"/>
    </row>
    <row r="195" spans="1:9">
      <c r="A195" s="192"/>
      <c r="B195" s="356"/>
      <c r="C195" s="391"/>
      <c r="D195" s="192"/>
      <c r="E195" s="192"/>
      <c r="F195" s="192"/>
      <c r="G195" s="192"/>
      <c r="H195" s="192"/>
      <c r="I195" s="192"/>
    </row>
    <row r="196" spans="1:9">
      <c r="A196" s="192"/>
      <c r="B196" s="356"/>
      <c r="C196" s="378"/>
      <c r="D196" s="192"/>
      <c r="E196" s="192"/>
      <c r="F196" s="192"/>
      <c r="G196" s="192"/>
      <c r="H196" s="192"/>
      <c r="I196" s="192"/>
    </row>
    <row r="197" spans="1:9">
      <c r="A197" s="192"/>
      <c r="B197" s="192"/>
      <c r="C197" s="192"/>
      <c r="D197" s="192"/>
      <c r="E197" s="192"/>
      <c r="F197" s="192"/>
      <c r="G197" s="192"/>
      <c r="H197" s="192"/>
      <c r="I197" s="192"/>
    </row>
    <row r="198" spans="1:9" ht="15">
      <c r="A198" s="192"/>
      <c r="B198" s="192"/>
      <c r="C198" s="192"/>
      <c r="D198" s="192"/>
      <c r="E198" s="192"/>
      <c r="F198" s="192"/>
      <c r="G198" s="192"/>
      <c r="H198" s="195" t="s">
        <v>909</v>
      </c>
      <c r="I198" s="196" t="str">
        <f>IF(C194="","À faire",IFERROR(IF(AND(ABS(C194-480)&lt;0.0001,ABS(C195-750)&lt;0.0001,COUNTA(C196:C196)=0),"✓ Correct","À revoir"),"À revoir"))</f>
        <v>À faire</v>
      </c>
    </row>
    <row r="199" spans="1:9">
      <c r="A199" s="192"/>
      <c r="B199" s="192"/>
      <c r="C199" s="192"/>
      <c r="D199" s="192"/>
      <c r="E199" s="192"/>
      <c r="F199" s="192"/>
      <c r="G199" s="192"/>
      <c r="H199" s="192"/>
      <c r="I199" s="192"/>
    </row>
    <row r="200" spans="1:9">
      <c r="A200" s="192"/>
      <c r="B200" s="192"/>
      <c r="C200" s="192"/>
      <c r="D200" s="192"/>
      <c r="E200" s="192"/>
      <c r="F200" s="192"/>
      <c r="G200" s="192"/>
      <c r="H200" s="192"/>
      <c r="I200" s="192"/>
    </row>
    <row r="201" spans="1:9" ht="24" customHeight="1">
      <c r="A201" s="192"/>
      <c r="B201" s="574" t="s">
        <v>457</v>
      </c>
      <c r="C201" s="574"/>
      <c r="D201" s="574"/>
      <c r="E201" s="574"/>
      <c r="F201" s="574"/>
      <c r="G201" s="574"/>
      <c r="H201" s="574"/>
      <c r="I201" s="574"/>
    </row>
    <row r="202" spans="1:9">
      <c r="A202" s="192"/>
      <c r="B202" s="192"/>
      <c r="C202" s="192"/>
      <c r="D202" s="192"/>
      <c r="E202" s="192"/>
      <c r="F202" s="192"/>
      <c r="G202" s="192"/>
      <c r="H202" s="192"/>
      <c r="I202" s="192"/>
    </row>
    <row r="203" spans="1:9" ht="24.95" customHeight="1">
      <c r="A203" s="192"/>
      <c r="B203" s="571" t="s">
        <v>1514</v>
      </c>
      <c r="C203" s="571"/>
      <c r="D203" s="571"/>
      <c r="E203" s="571"/>
      <c r="F203" s="571"/>
      <c r="G203" s="571"/>
      <c r="H203" s="193" t="s">
        <v>901</v>
      </c>
      <c r="I203" s="194" t="s">
        <v>1386</v>
      </c>
    </row>
    <row r="204" spans="1:9">
      <c r="A204" s="192"/>
      <c r="B204" s="192"/>
      <c r="C204" s="192"/>
      <c r="D204" s="192"/>
      <c r="E204" s="192"/>
      <c r="F204" s="192"/>
      <c r="G204" s="192"/>
      <c r="H204" s="192"/>
      <c r="I204" s="192"/>
    </row>
    <row r="205" spans="1:9" ht="42" customHeight="1">
      <c r="A205" s="192"/>
      <c r="B205" s="572" t="s">
        <v>1515</v>
      </c>
      <c r="C205" s="572"/>
      <c r="D205" s="572"/>
      <c r="E205" s="572"/>
      <c r="F205" s="572"/>
      <c r="G205" s="572"/>
      <c r="H205" s="572"/>
      <c r="I205" s="572"/>
    </row>
    <row r="206" spans="1:9">
      <c r="A206" s="192"/>
      <c r="B206" s="192"/>
      <c r="C206" s="192"/>
      <c r="D206" s="192"/>
      <c r="E206" s="192"/>
      <c r="F206" s="192"/>
      <c r="G206" s="192"/>
      <c r="H206" s="192"/>
      <c r="I206" s="192"/>
    </row>
    <row r="207" spans="1:9" ht="21.95" customHeight="1">
      <c r="A207" s="192"/>
      <c r="B207" s="197" t="s">
        <v>1272</v>
      </c>
      <c r="C207" s="197" t="s">
        <v>1087</v>
      </c>
      <c r="D207" s="197" t="s">
        <v>1097</v>
      </c>
      <c r="E207" s="197" t="s">
        <v>26</v>
      </c>
      <c r="F207" s="192"/>
      <c r="G207" s="192"/>
      <c r="H207" s="192"/>
      <c r="I207" s="192"/>
    </row>
    <row r="208" spans="1:9">
      <c r="A208" s="192"/>
      <c r="B208" s="362" t="s">
        <v>1493</v>
      </c>
      <c r="C208" s="363" t="s">
        <v>964</v>
      </c>
      <c r="D208" s="363" t="s">
        <v>1098</v>
      </c>
      <c r="E208" s="364">
        <v>480</v>
      </c>
      <c r="F208" s="192"/>
      <c r="G208" s="192"/>
      <c r="H208" s="192"/>
      <c r="I208" s="192"/>
    </row>
    <row r="209" spans="1:9">
      <c r="A209" s="192"/>
      <c r="B209" s="362" t="s">
        <v>1494</v>
      </c>
      <c r="C209" s="363" t="s">
        <v>1088</v>
      </c>
      <c r="D209" s="363" t="s">
        <v>1099</v>
      </c>
      <c r="E209" s="364">
        <v>320</v>
      </c>
      <c r="F209" s="192"/>
      <c r="G209" s="192"/>
      <c r="H209" s="192"/>
      <c r="I209" s="192"/>
    </row>
    <row r="210" spans="1:9">
      <c r="A210" s="192"/>
      <c r="B210" s="362" t="s">
        <v>1495</v>
      </c>
      <c r="C210" s="363" t="s">
        <v>964</v>
      </c>
      <c r="D210" s="363" t="s">
        <v>1098</v>
      </c>
      <c r="E210" s="364">
        <v>750</v>
      </c>
      <c r="F210" s="192"/>
      <c r="G210" s="192"/>
      <c r="H210" s="192"/>
      <c r="I210" s="192"/>
    </row>
    <row r="211" spans="1:9">
      <c r="A211" s="192"/>
      <c r="B211" s="362" t="s">
        <v>1496</v>
      </c>
      <c r="C211" s="363" t="s">
        <v>1089</v>
      </c>
      <c r="D211" s="363" t="s">
        <v>1105</v>
      </c>
      <c r="E211" s="364">
        <v>210</v>
      </c>
      <c r="F211" s="192"/>
      <c r="G211" s="192"/>
      <c r="H211" s="192"/>
      <c r="I211" s="192"/>
    </row>
    <row r="212" spans="1:9">
      <c r="A212" s="192"/>
      <c r="B212" s="362" t="s">
        <v>1497</v>
      </c>
      <c r="C212" s="363" t="s">
        <v>1088</v>
      </c>
      <c r="D212" s="363" t="s">
        <v>1098</v>
      </c>
      <c r="E212" s="364">
        <v>560</v>
      </c>
      <c r="F212" s="192"/>
      <c r="G212" s="192"/>
      <c r="H212" s="192"/>
      <c r="I212" s="192"/>
    </row>
    <row r="213" spans="1:9">
      <c r="A213" s="192"/>
      <c r="B213" s="362" t="s">
        <v>1498</v>
      </c>
      <c r="C213" s="363" t="s">
        <v>964</v>
      </c>
      <c r="D213" s="363" t="s">
        <v>1099</v>
      </c>
      <c r="E213" s="364">
        <v>430</v>
      </c>
      <c r="F213" s="192"/>
      <c r="G213" s="192"/>
      <c r="H213" s="192"/>
      <c r="I213" s="192"/>
    </row>
    <row r="214" spans="1:9">
      <c r="A214" s="192"/>
      <c r="B214" s="362" t="s">
        <v>1499</v>
      </c>
      <c r="C214" s="363" t="s">
        <v>1500</v>
      </c>
      <c r="D214" s="363" t="s">
        <v>1098</v>
      </c>
      <c r="E214" s="364">
        <v>390</v>
      </c>
      <c r="F214" s="192"/>
      <c r="G214" s="192"/>
      <c r="H214" s="192"/>
      <c r="I214" s="192"/>
    </row>
    <row r="215" spans="1:9">
      <c r="A215" s="192"/>
      <c r="B215" s="362" t="s">
        <v>1501</v>
      </c>
      <c r="C215" s="363" t="s">
        <v>1088</v>
      </c>
      <c r="D215" s="363" t="s">
        <v>1098</v>
      </c>
      <c r="E215" s="364">
        <v>620</v>
      </c>
      <c r="F215" s="192"/>
      <c r="G215" s="192"/>
      <c r="H215" s="192"/>
      <c r="I215" s="192"/>
    </row>
    <row r="216" spans="1:9">
      <c r="A216" s="192"/>
      <c r="B216" s="192"/>
      <c r="C216" s="192"/>
      <c r="D216" s="192"/>
      <c r="E216" s="192"/>
      <c r="F216" s="192"/>
      <c r="G216" s="192"/>
      <c r="H216" s="192"/>
      <c r="I216" s="192"/>
    </row>
    <row r="217" spans="1:9" ht="15">
      <c r="A217" s="192"/>
      <c r="B217" s="192"/>
      <c r="C217" s="197" t="s">
        <v>1516</v>
      </c>
      <c r="D217" s="192"/>
      <c r="E217" s="192"/>
      <c r="F217" s="192"/>
      <c r="G217" s="192"/>
      <c r="H217" s="192"/>
      <c r="I217" s="192"/>
    </row>
    <row r="218" spans="1:9" ht="15">
      <c r="A218" s="192"/>
      <c r="B218" s="198" t="s">
        <v>927</v>
      </c>
      <c r="C218" s="397"/>
      <c r="D218" s="356"/>
      <c r="E218" s="192"/>
      <c r="F218" s="192"/>
      <c r="G218" s="192"/>
      <c r="H218" s="192"/>
      <c r="I218" s="192"/>
    </row>
    <row r="219" spans="1:9">
      <c r="A219" s="192"/>
      <c r="B219" s="356"/>
      <c r="C219" s="391"/>
      <c r="D219" s="192"/>
      <c r="E219" s="192"/>
      <c r="F219" s="192"/>
      <c r="G219" s="192"/>
      <c r="H219" s="192"/>
      <c r="I219" s="192"/>
    </row>
    <row r="220" spans="1:9">
      <c r="A220" s="192"/>
      <c r="B220" s="356"/>
      <c r="C220" s="378"/>
      <c r="D220" s="192"/>
      <c r="E220" s="192"/>
      <c r="F220" s="192"/>
      <c r="G220" s="192"/>
      <c r="H220" s="192"/>
      <c r="I220" s="192"/>
    </row>
    <row r="221" spans="1:9">
      <c r="A221" s="192"/>
      <c r="B221" s="356"/>
      <c r="C221" s="378"/>
      <c r="D221" s="192"/>
      <c r="E221" s="192"/>
      <c r="F221" s="192"/>
      <c r="G221" s="192"/>
      <c r="H221" s="192"/>
      <c r="I221" s="192"/>
    </row>
    <row r="222" spans="1:9">
      <c r="A222" s="192"/>
      <c r="B222" s="356"/>
      <c r="C222" s="378"/>
      <c r="D222" s="192"/>
      <c r="E222" s="192"/>
      <c r="F222" s="192"/>
      <c r="G222" s="192"/>
      <c r="H222" s="192"/>
      <c r="I222" s="192"/>
    </row>
    <row r="223" spans="1:9">
      <c r="A223" s="192"/>
      <c r="B223" s="192"/>
      <c r="C223" s="192"/>
      <c r="D223" s="192"/>
      <c r="E223" s="192"/>
      <c r="F223" s="192"/>
      <c r="G223" s="192"/>
      <c r="H223" s="192"/>
      <c r="I223" s="192"/>
    </row>
    <row r="224" spans="1:9" ht="15">
      <c r="A224" s="192"/>
      <c r="B224" s="192"/>
      <c r="C224" s="192"/>
      <c r="D224" s="192"/>
      <c r="E224" s="192"/>
      <c r="F224" s="192"/>
      <c r="G224" s="192"/>
      <c r="H224" s="195" t="s">
        <v>909</v>
      </c>
      <c r="I224" s="196" t="str">
        <f>IF(C218="","À faire",IFERROR(IF(AND(C218="Martin",C219="Dupont",C220="Leroy",C221="Bernard",COUNTA(C222:C222)=0),"✓ Correct","À revoir"),"À revoir"))</f>
        <v>À faire</v>
      </c>
    </row>
    <row r="225" spans="1:9">
      <c r="A225" s="192"/>
      <c r="B225" s="192"/>
      <c r="C225" s="192"/>
      <c r="D225" s="192"/>
      <c r="E225" s="192"/>
      <c r="F225" s="192"/>
      <c r="G225" s="192"/>
      <c r="H225" s="192"/>
      <c r="I225" s="192"/>
    </row>
    <row r="226" spans="1:9">
      <c r="A226" s="192"/>
      <c r="B226" s="192"/>
      <c r="C226" s="192"/>
      <c r="D226" s="192"/>
      <c r="E226" s="192"/>
      <c r="F226" s="192"/>
      <c r="G226" s="192"/>
      <c r="H226" s="192"/>
      <c r="I226" s="192"/>
    </row>
    <row r="227" spans="1:9" ht="24.95" customHeight="1">
      <c r="A227" s="192"/>
      <c r="B227" s="571" t="s">
        <v>1517</v>
      </c>
      <c r="C227" s="571"/>
      <c r="D227" s="571"/>
      <c r="E227" s="571"/>
      <c r="F227" s="571"/>
      <c r="G227" s="571"/>
      <c r="H227" s="193" t="s">
        <v>930</v>
      </c>
      <c r="I227" s="194" t="s">
        <v>1386</v>
      </c>
    </row>
    <row r="228" spans="1:9">
      <c r="A228" s="192"/>
      <c r="B228" s="192"/>
      <c r="C228" s="192"/>
      <c r="D228" s="192"/>
      <c r="E228" s="192"/>
      <c r="F228" s="192"/>
      <c r="G228" s="192"/>
      <c r="H228" s="192"/>
      <c r="I228" s="192"/>
    </row>
    <row r="229" spans="1:9" ht="42" customHeight="1">
      <c r="A229" s="192"/>
      <c r="B229" s="572" t="s">
        <v>1518</v>
      </c>
      <c r="C229" s="572"/>
      <c r="D229" s="572"/>
      <c r="E229" s="572"/>
      <c r="F229" s="572"/>
      <c r="G229" s="572"/>
      <c r="H229" s="572"/>
      <c r="I229" s="572"/>
    </row>
    <row r="230" spans="1:9">
      <c r="A230" s="192"/>
      <c r="B230" s="192"/>
      <c r="C230" s="192"/>
      <c r="D230" s="192"/>
      <c r="E230" s="192"/>
      <c r="F230" s="192"/>
      <c r="G230" s="192"/>
      <c r="H230" s="192"/>
      <c r="I230" s="192"/>
    </row>
    <row r="231" spans="1:9" ht="21.95" customHeight="1">
      <c r="A231" s="192"/>
      <c r="B231" s="197" t="s">
        <v>1272</v>
      </c>
      <c r="C231" s="197" t="s">
        <v>1087</v>
      </c>
      <c r="D231" s="197" t="s">
        <v>1097</v>
      </c>
      <c r="E231" s="197" t="s">
        <v>26</v>
      </c>
      <c r="F231" s="192"/>
      <c r="G231" s="192"/>
      <c r="H231" s="192"/>
      <c r="I231" s="192"/>
    </row>
    <row r="232" spans="1:9">
      <c r="A232" s="192"/>
      <c r="B232" s="362" t="s">
        <v>1493</v>
      </c>
      <c r="C232" s="363" t="s">
        <v>964</v>
      </c>
      <c r="D232" s="363" t="s">
        <v>1098</v>
      </c>
      <c r="E232" s="364">
        <v>480</v>
      </c>
      <c r="F232" s="192"/>
      <c r="G232" s="192"/>
      <c r="H232" s="192"/>
      <c r="I232" s="192"/>
    </row>
    <row r="233" spans="1:9">
      <c r="A233" s="192"/>
      <c r="B233" s="362" t="s">
        <v>1494</v>
      </c>
      <c r="C233" s="363" t="s">
        <v>1088</v>
      </c>
      <c r="D233" s="363" t="s">
        <v>1099</v>
      </c>
      <c r="E233" s="364">
        <v>320</v>
      </c>
      <c r="F233" s="192"/>
      <c r="G233" s="192"/>
      <c r="H233" s="192"/>
      <c r="I233" s="192"/>
    </row>
    <row r="234" spans="1:9">
      <c r="A234" s="192"/>
      <c r="B234" s="362" t="s">
        <v>1495</v>
      </c>
      <c r="C234" s="363" t="s">
        <v>964</v>
      </c>
      <c r="D234" s="363" t="s">
        <v>1098</v>
      </c>
      <c r="E234" s="364">
        <v>750</v>
      </c>
      <c r="F234" s="192"/>
      <c r="G234" s="192"/>
      <c r="H234" s="192"/>
      <c r="I234" s="192"/>
    </row>
    <row r="235" spans="1:9">
      <c r="A235" s="192"/>
      <c r="B235" s="362" t="s">
        <v>1496</v>
      </c>
      <c r="C235" s="363" t="s">
        <v>1089</v>
      </c>
      <c r="D235" s="363" t="s">
        <v>1105</v>
      </c>
      <c r="E235" s="364">
        <v>210</v>
      </c>
      <c r="F235" s="192"/>
      <c r="G235" s="192"/>
      <c r="H235" s="192"/>
      <c r="I235" s="192"/>
    </row>
    <row r="236" spans="1:9">
      <c r="A236" s="192"/>
      <c r="B236" s="362" t="s">
        <v>1497</v>
      </c>
      <c r="C236" s="363" t="s">
        <v>1088</v>
      </c>
      <c r="D236" s="363" t="s">
        <v>1098</v>
      </c>
      <c r="E236" s="364">
        <v>560</v>
      </c>
      <c r="F236" s="192"/>
      <c r="G236" s="192"/>
      <c r="H236" s="192"/>
      <c r="I236" s="192"/>
    </row>
    <row r="237" spans="1:9">
      <c r="A237" s="192"/>
      <c r="B237" s="362" t="s">
        <v>1498</v>
      </c>
      <c r="C237" s="363" t="s">
        <v>964</v>
      </c>
      <c r="D237" s="363" t="s">
        <v>1099</v>
      </c>
      <c r="E237" s="364">
        <v>430</v>
      </c>
      <c r="F237" s="192"/>
      <c r="G237" s="192"/>
      <c r="H237" s="192"/>
      <c r="I237" s="192"/>
    </row>
    <row r="238" spans="1:9">
      <c r="A238" s="192"/>
      <c r="B238" s="362" t="s">
        <v>1499</v>
      </c>
      <c r="C238" s="363" t="s">
        <v>1500</v>
      </c>
      <c r="D238" s="363" t="s">
        <v>1098</v>
      </c>
      <c r="E238" s="364">
        <v>390</v>
      </c>
      <c r="F238" s="192"/>
      <c r="G238" s="192"/>
      <c r="H238" s="192"/>
      <c r="I238" s="192"/>
    </row>
    <row r="239" spans="1:9">
      <c r="A239" s="192"/>
      <c r="B239" s="362" t="s">
        <v>1501</v>
      </c>
      <c r="C239" s="363" t="s">
        <v>1088</v>
      </c>
      <c r="D239" s="363" t="s">
        <v>1098</v>
      </c>
      <c r="E239" s="364">
        <v>620</v>
      </c>
      <c r="F239" s="192"/>
      <c r="G239" s="192"/>
      <c r="H239" s="192"/>
      <c r="I239" s="192"/>
    </row>
    <row r="240" spans="1:9">
      <c r="A240" s="192"/>
      <c r="B240" s="192"/>
      <c r="C240" s="192"/>
      <c r="D240" s="192"/>
      <c r="E240" s="192"/>
      <c r="F240" s="192"/>
      <c r="G240" s="192"/>
      <c r="H240" s="192"/>
      <c r="I240" s="192"/>
    </row>
    <row r="241" spans="1:9" ht="21.95" customHeight="1">
      <c r="A241" s="192"/>
      <c r="B241" s="192"/>
      <c r="C241" s="197" t="s">
        <v>1087</v>
      </c>
      <c r="D241" s="373" t="s">
        <v>1097</v>
      </c>
      <c r="E241" s="192"/>
      <c r="F241" s="192"/>
      <c r="G241" s="192"/>
      <c r="H241" s="192"/>
      <c r="I241" s="192"/>
    </row>
    <row r="242" spans="1:9" ht="15">
      <c r="A242" s="192"/>
      <c r="B242" s="198" t="s">
        <v>927</v>
      </c>
      <c r="C242" s="397"/>
      <c r="D242" s="379"/>
      <c r="E242" s="192"/>
      <c r="F242" s="192"/>
      <c r="G242" s="192"/>
      <c r="H242" s="192"/>
      <c r="I242" s="192"/>
    </row>
    <row r="243" spans="1:9">
      <c r="A243" s="192"/>
      <c r="B243" s="356"/>
      <c r="C243" s="390"/>
      <c r="D243" s="379"/>
      <c r="E243" s="192"/>
      <c r="F243" s="192"/>
      <c r="G243" s="192"/>
      <c r="H243" s="192"/>
      <c r="I243" s="192"/>
    </row>
    <row r="244" spans="1:9">
      <c r="A244" s="192"/>
      <c r="B244" s="356"/>
      <c r="C244" s="375"/>
      <c r="D244" s="379"/>
      <c r="E244" s="192"/>
      <c r="F244" s="192"/>
      <c r="G244" s="192"/>
      <c r="H244" s="192"/>
      <c r="I244" s="192"/>
    </row>
    <row r="245" spans="1:9">
      <c r="A245" s="192"/>
      <c r="B245" s="356"/>
      <c r="C245" s="375"/>
      <c r="D245" s="379"/>
      <c r="E245" s="192"/>
      <c r="F245" s="192"/>
      <c r="G245" s="192"/>
      <c r="H245" s="192"/>
      <c r="I245" s="192"/>
    </row>
    <row r="246" spans="1:9">
      <c r="A246" s="192"/>
      <c r="B246" s="356"/>
      <c r="C246" s="375"/>
      <c r="D246" s="379"/>
      <c r="E246" s="192"/>
      <c r="F246" s="192"/>
      <c r="G246" s="192"/>
      <c r="H246" s="192"/>
      <c r="I246" s="192"/>
    </row>
    <row r="247" spans="1:9">
      <c r="A247" s="192"/>
      <c r="B247" s="356"/>
      <c r="C247" s="375"/>
      <c r="D247" s="379"/>
      <c r="E247" s="192"/>
      <c r="F247" s="192"/>
      <c r="G247" s="192"/>
      <c r="H247" s="192"/>
      <c r="I247" s="192"/>
    </row>
    <row r="248" spans="1:9">
      <c r="A248" s="192"/>
      <c r="B248" s="356"/>
      <c r="C248" s="375"/>
      <c r="D248" s="379"/>
      <c r="E248" s="192"/>
      <c r="F248" s="192"/>
      <c r="G248" s="192"/>
      <c r="H248" s="192"/>
      <c r="I248" s="192"/>
    </row>
    <row r="249" spans="1:9">
      <c r="A249" s="192"/>
      <c r="B249" s="192"/>
      <c r="C249" s="192"/>
      <c r="D249" s="192"/>
      <c r="E249" s="192"/>
      <c r="F249" s="192"/>
      <c r="G249" s="192"/>
      <c r="H249" s="192"/>
      <c r="I249" s="192"/>
    </row>
    <row r="250" spans="1:9" ht="15">
      <c r="A250" s="192"/>
      <c r="B250" s="192"/>
      <c r="C250" s="192"/>
      <c r="D250" s="192"/>
      <c r="E250" s="192"/>
      <c r="F250" s="192"/>
      <c r="G250" s="192"/>
      <c r="H250" s="195" t="s">
        <v>909</v>
      </c>
      <c r="I250" s="196" t="str">
        <f>IF(C242="","À faire",IFERROR(IF(AND(C242="Martin",D242="Payée",C243="Dupont",D243="En attente",C244="Leroy",D244="Annulée",C245="Dupont",D245="Payée",C246="Martin",D246="En attente",C247="Bernard",D247="Payée",COUNTA(C248:D248)=0),"✓ Correct","À revoir"),"À revoir"))</f>
        <v>À faire</v>
      </c>
    </row>
    <row r="251" spans="1:9">
      <c r="A251" s="192"/>
      <c r="B251" s="192"/>
      <c r="C251" s="192"/>
      <c r="D251" s="192"/>
      <c r="E251" s="192"/>
      <c r="F251" s="192"/>
      <c r="G251" s="192"/>
      <c r="H251" s="192"/>
      <c r="I251" s="192"/>
    </row>
    <row r="252" spans="1:9">
      <c r="A252" s="192"/>
      <c r="B252" s="192"/>
      <c r="C252" s="192"/>
      <c r="D252" s="192"/>
      <c r="E252" s="192"/>
      <c r="F252" s="192"/>
      <c r="G252" s="192"/>
      <c r="H252" s="192"/>
      <c r="I252" s="192"/>
    </row>
    <row r="253" spans="1:9" ht="24.95" customHeight="1">
      <c r="A253" s="192"/>
      <c r="B253" s="571" t="s">
        <v>1519</v>
      </c>
      <c r="C253" s="571"/>
      <c r="D253" s="571"/>
      <c r="E253" s="571"/>
      <c r="F253" s="571"/>
      <c r="G253" s="571"/>
      <c r="H253" s="193" t="s">
        <v>930</v>
      </c>
      <c r="I253" s="194" t="s">
        <v>1386</v>
      </c>
    </row>
    <row r="254" spans="1:9">
      <c r="A254" s="192"/>
      <c r="B254" s="192"/>
      <c r="C254" s="192"/>
      <c r="D254" s="192"/>
      <c r="E254" s="192"/>
      <c r="F254" s="192"/>
      <c r="G254" s="192"/>
      <c r="H254" s="192"/>
      <c r="I254" s="192"/>
    </row>
    <row r="255" spans="1:9" ht="42" customHeight="1">
      <c r="A255" s="192"/>
      <c r="B255" s="572" t="s">
        <v>1520</v>
      </c>
      <c r="C255" s="572"/>
      <c r="D255" s="572"/>
      <c r="E255" s="572"/>
      <c r="F255" s="572"/>
      <c r="G255" s="572"/>
      <c r="H255" s="572"/>
      <c r="I255" s="572"/>
    </row>
    <row r="256" spans="1:9">
      <c r="A256" s="192"/>
      <c r="B256" s="192"/>
      <c r="C256" s="192"/>
      <c r="D256" s="192"/>
      <c r="E256" s="192"/>
      <c r="F256" s="192"/>
      <c r="G256" s="192"/>
      <c r="H256" s="192"/>
      <c r="I256" s="192"/>
    </row>
    <row r="257" spans="1:9" ht="21.95" customHeight="1">
      <c r="A257" s="192"/>
      <c r="B257" s="197" t="s">
        <v>1272</v>
      </c>
      <c r="C257" s="197" t="s">
        <v>1087</v>
      </c>
      <c r="D257" s="197" t="s">
        <v>1097</v>
      </c>
      <c r="E257" s="197" t="s">
        <v>26</v>
      </c>
      <c r="F257" s="192"/>
      <c r="G257" s="192"/>
      <c r="H257" s="192"/>
      <c r="I257" s="192"/>
    </row>
    <row r="258" spans="1:9">
      <c r="A258" s="192"/>
      <c r="B258" s="362" t="s">
        <v>1493</v>
      </c>
      <c r="C258" s="363" t="s">
        <v>964</v>
      </c>
      <c r="D258" s="363" t="s">
        <v>1098</v>
      </c>
      <c r="E258" s="364">
        <v>480</v>
      </c>
      <c r="F258" s="192"/>
      <c r="G258" s="192"/>
      <c r="H258" s="192"/>
      <c r="I258" s="192"/>
    </row>
    <row r="259" spans="1:9">
      <c r="A259" s="192"/>
      <c r="B259" s="362" t="s">
        <v>1494</v>
      </c>
      <c r="C259" s="363" t="s">
        <v>1088</v>
      </c>
      <c r="D259" s="363" t="s">
        <v>1099</v>
      </c>
      <c r="E259" s="364">
        <v>320</v>
      </c>
      <c r="F259" s="192"/>
      <c r="G259" s="192"/>
      <c r="H259" s="192"/>
      <c r="I259" s="192"/>
    </row>
    <row r="260" spans="1:9">
      <c r="A260" s="192"/>
      <c r="B260" s="362" t="s">
        <v>1495</v>
      </c>
      <c r="C260" s="363" t="s">
        <v>964</v>
      </c>
      <c r="D260" s="363" t="s">
        <v>1098</v>
      </c>
      <c r="E260" s="364">
        <v>750</v>
      </c>
      <c r="F260" s="192"/>
      <c r="G260" s="192"/>
      <c r="H260" s="192"/>
      <c r="I260" s="192"/>
    </row>
    <row r="261" spans="1:9">
      <c r="A261" s="192"/>
      <c r="B261" s="362" t="s">
        <v>1496</v>
      </c>
      <c r="C261" s="363" t="s">
        <v>1089</v>
      </c>
      <c r="D261" s="363" t="s">
        <v>1105</v>
      </c>
      <c r="E261" s="364">
        <v>210</v>
      </c>
      <c r="F261" s="192"/>
      <c r="G261" s="192"/>
      <c r="H261" s="192"/>
      <c r="I261" s="192"/>
    </row>
    <row r="262" spans="1:9">
      <c r="A262" s="192"/>
      <c r="B262" s="362" t="s">
        <v>1497</v>
      </c>
      <c r="C262" s="363" t="s">
        <v>1088</v>
      </c>
      <c r="D262" s="363" t="s">
        <v>1098</v>
      </c>
      <c r="E262" s="364">
        <v>560</v>
      </c>
      <c r="F262" s="192"/>
      <c r="G262" s="192"/>
      <c r="H262" s="192"/>
      <c r="I262" s="192"/>
    </row>
    <row r="263" spans="1:9">
      <c r="A263" s="192"/>
      <c r="B263" s="362" t="s">
        <v>1498</v>
      </c>
      <c r="C263" s="363" t="s">
        <v>964</v>
      </c>
      <c r="D263" s="363" t="s">
        <v>1099</v>
      </c>
      <c r="E263" s="364">
        <v>430</v>
      </c>
      <c r="F263" s="192"/>
      <c r="G263" s="192"/>
      <c r="H263" s="192"/>
      <c r="I263" s="192"/>
    </row>
    <row r="264" spans="1:9">
      <c r="A264" s="192"/>
      <c r="B264" s="362" t="s">
        <v>1499</v>
      </c>
      <c r="C264" s="363" t="s">
        <v>1500</v>
      </c>
      <c r="D264" s="363" t="s">
        <v>1098</v>
      </c>
      <c r="E264" s="364">
        <v>390</v>
      </c>
      <c r="F264" s="192"/>
      <c r="G264" s="192"/>
      <c r="H264" s="192"/>
      <c r="I264" s="192"/>
    </row>
    <row r="265" spans="1:9">
      <c r="A265" s="192"/>
      <c r="B265" s="362" t="s">
        <v>1501</v>
      </c>
      <c r="C265" s="363" t="s">
        <v>1088</v>
      </c>
      <c r="D265" s="363" t="s">
        <v>1098</v>
      </c>
      <c r="E265" s="364">
        <v>620</v>
      </c>
      <c r="F265" s="192"/>
      <c r="G265" s="192"/>
      <c r="H265" s="192"/>
      <c r="I265" s="192"/>
    </row>
    <row r="266" spans="1:9">
      <c r="A266" s="192"/>
      <c r="B266" s="192"/>
      <c r="C266" s="192"/>
      <c r="D266" s="192"/>
      <c r="E266" s="192"/>
      <c r="F266" s="192"/>
      <c r="G266" s="192"/>
      <c r="H266" s="192"/>
      <c r="I266" s="192"/>
    </row>
    <row r="267" spans="1:9" ht="30">
      <c r="A267" s="192"/>
      <c r="B267" s="192"/>
      <c r="C267" s="197" t="s">
        <v>1521</v>
      </c>
      <c r="D267" s="192"/>
      <c r="E267" s="192"/>
      <c r="F267" s="192"/>
      <c r="G267" s="192"/>
      <c r="H267" s="192"/>
      <c r="I267" s="192"/>
    </row>
    <row r="268" spans="1:9" ht="15">
      <c r="A268" s="192"/>
      <c r="B268" s="198" t="s">
        <v>927</v>
      </c>
      <c r="C268" s="397"/>
      <c r="D268" s="356"/>
      <c r="E268" s="192"/>
      <c r="F268" s="192"/>
      <c r="G268" s="192"/>
      <c r="H268" s="192"/>
      <c r="I268" s="192"/>
    </row>
    <row r="269" spans="1:9">
      <c r="A269" s="192"/>
      <c r="B269" s="356"/>
      <c r="C269" s="391"/>
      <c r="D269" s="192"/>
      <c r="E269" s="192"/>
      <c r="F269" s="192"/>
      <c r="G269" s="192"/>
      <c r="H269" s="192"/>
      <c r="I269" s="192"/>
    </row>
    <row r="270" spans="1:9">
      <c r="A270" s="192"/>
      <c r="B270" s="356"/>
      <c r="C270" s="378"/>
      <c r="D270" s="192"/>
      <c r="E270" s="192"/>
      <c r="F270" s="192"/>
      <c r="G270" s="192"/>
      <c r="H270" s="192"/>
      <c r="I270" s="192"/>
    </row>
    <row r="271" spans="1:9">
      <c r="A271" s="192"/>
      <c r="B271" s="192"/>
      <c r="C271" s="192"/>
      <c r="D271" s="192"/>
      <c r="E271" s="192"/>
      <c r="F271" s="192"/>
      <c r="G271" s="192"/>
      <c r="H271" s="192"/>
      <c r="I271" s="192"/>
    </row>
    <row r="272" spans="1:9" ht="15">
      <c r="A272" s="192"/>
      <c r="B272" s="192"/>
      <c r="C272" s="192"/>
      <c r="D272" s="192"/>
      <c r="E272" s="192"/>
      <c r="F272" s="192"/>
      <c r="G272" s="192"/>
      <c r="H272" s="195" t="s">
        <v>909</v>
      </c>
      <c r="I272" s="196" t="str">
        <f>IF(C268="","À faire",IFERROR(IF(AND(C268="Leroy",C269="Bernard",COUNTA(C270:C270)=0),"✓ Correct","À revoir"),"À revoir"))</f>
        <v>À faire</v>
      </c>
    </row>
    <row r="273" spans="1:9">
      <c r="A273" s="192"/>
      <c r="B273" s="192"/>
      <c r="C273" s="192"/>
      <c r="D273" s="192"/>
      <c r="E273" s="192"/>
      <c r="F273" s="192"/>
      <c r="G273" s="192"/>
      <c r="H273" s="192"/>
      <c r="I273" s="192"/>
    </row>
    <row r="274" spans="1:9">
      <c r="A274" s="192"/>
      <c r="B274" s="192"/>
      <c r="C274" s="192"/>
      <c r="D274" s="192"/>
      <c r="E274" s="192"/>
      <c r="F274" s="192"/>
      <c r="G274" s="192"/>
      <c r="H274" s="192"/>
      <c r="I274" s="192"/>
    </row>
    <row r="275" spans="1:9" ht="24.95" customHeight="1">
      <c r="A275" s="192"/>
      <c r="B275" s="573" t="s">
        <v>1522</v>
      </c>
      <c r="C275" s="573"/>
      <c r="D275" s="573"/>
      <c r="E275" s="573"/>
      <c r="F275" s="573"/>
      <c r="G275" s="573"/>
      <c r="H275" s="206" t="s">
        <v>930</v>
      </c>
      <c r="I275" s="207" t="s">
        <v>1386</v>
      </c>
    </row>
    <row r="276" spans="1:9">
      <c r="A276" s="192"/>
    </row>
    <row r="277" spans="1:9" ht="42" customHeight="1">
      <c r="A277" s="192"/>
      <c r="B277" s="575" t="s">
        <v>1523</v>
      </c>
      <c r="C277" s="575"/>
      <c r="D277" s="575"/>
      <c r="E277" s="575"/>
      <c r="F277" s="575"/>
      <c r="G277" s="575"/>
      <c r="H277" s="575"/>
      <c r="I277" s="575"/>
    </row>
    <row r="278" spans="1:9">
      <c r="A278" s="192"/>
    </row>
    <row r="279" spans="1:9" ht="21.95" customHeight="1">
      <c r="A279" s="192"/>
      <c r="B279" s="209" t="s">
        <v>1087</v>
      </c>
      <c r="C279" s="366" t="s">
        <v>964</v>
      </c>
      <c r="D279" s="367" t="s">
        <v>1088</v>
      </c>
      <c r="E279" s="367" t="s">
        <v>964</v>
      </c>
      <c r="F279" s="368" t="s">
        <v>1089</v>
      </c>
    </row>
    <row r="280" spans="1:9" ht="21.95" customHeight="1">
      <c r="A280" s="192"/>
      <c r="B280" s="210" t="s">
        <v>1097</v>
      </c>
      <c r="C280" s="366" t="s">
        <v>1098</v>
      </c>
      <c r="D280" s="367" t="s">
        <v>1099</v>
      </c>
      <c r="E280" s="367" t="s">
        <v>1098</v>
      </c>
      <c r="F280" s="368" t="s">
        <v>1105</v>
      </c>
    </row>
    <row r="281" spans="1:9" ht="21.95" customHeight="1">
      <c r="A281" s="192"/>
      <c r="B281" s="211" t="s">
        <v>26</v>
      </c>
      <c r="C281" s="212">
        <v>480</v>
      </c>
      <c r="D281" s="213">
        <v>320</v>
      </c>
      <c r="E281" s="213">
        <v>480</v>
      </c>
      <c r="F281" s="214">
        <v>210</v>
      </c>
    </row>
    <row r="282" spans="1:9">
      <c r="A282" s="192"/>
    </row>
    <row r="283" spans="1:9">
      <c r="A283" s="192"/>
    </row>
    <row r="284" spans="1:9" ht="15" customHeight="1">
      <c r="A284" s="192"/>
      <c r="C284" s="209" t="s">
        <v>1376</v>
      </c>
      <c r="D284" s="374" t="s">
        <v>1377</v>
      </c>
      <c r="E284" s="374" t="s">
        <v>1378</v>
      </c>
    </row>
    <row r="285" spans="1:9" ht="15" customHeight="1">
      <c r="A285" s="192"/>
      <c r="B285" s="208" t="s">
        <v>927</v>
      </c>
      <c r="C285" s="398"/>
      <c r="D285" s="383"/>
      <c r="E285" s="381"/>
    </row>
    <row r="286" spans="1:9">
      <c r="A286" s="192"/>
      <c r="C286" s="304"/>
    </row>
    <row r="287" spans="1:9">
      <c r="A287" s="192"/>
    </row>
    <row r="288" spans="1:9">
      <c r="A288" s="192"/>
    </row>
    <row r="289" spans="1:9">
      <c r="A289" s="192"/>
    </row>
    <row r="290" spans="1:9" ht="15" customHeight="1">
      <c r="A290" s="192"/>
      <c r="H290" s="215" t="s">
        <v>909</v>
      </c>
      <c r="I290" s="216" t="str">
        <f>IF(C285="","À faire",IFERROR(IF(AND(C285="Martin",D285="Dupont",E285="Leroy",C286="Payée",D286="En attente",E286="Annulée",ABS(C287-480)&lt;0.0001,ABS(D287-320)&lt;0.0001,ABS(E287-210)&lt;0.0001,COUNTA(F285:F287)=0),"✓ Correct","À revoir"),"À revoir"))</f>
        <v>À faire</v>
      </c>
    </row>
    <row r="291" spans="1:9">
      <c r="A291" s="192"/>
    </row>
    <row r="292" spans="1:9">
      <c r="A292" s="192"/>
    </row>
    <row r="293" spans="1:9" ht="24" customHeight="1">
      <c r="A293" s="192"/>
      <c r="B293" s="576" t="s">
        <v>461</v>
      </c>
      <c r="C293" s="576"/>
      <c r="D293" s="576"/>
      <c r="E293" s="576"/>
      <c r="F293" s="576"/>
      <c r="G293" s="576"/>
      <c r="H293" s="576"/>
      <c r="I293" s="576"/>
    </row>
    <row r="294" spans="1:9">
      <c r="A294" s="192"/>
    </row>
    <row r="295" spans="1:9" ht="24.95" customHeight="1">
      <c r="A295" s="192"/>
      <c r="B295" s="573" t="s">
        <v>1524</v>
      </c>
      <c r="C295" s="573"/>
      <c r="D295" s="573"/>
      <c r="E295" s="573"/>
      <c r="F295" s="573"/>
      <c r="G295" s="573"/>
      <c r="H295" s="206" t="s">
        <v>901</v>
      </c>
      <c r="I295" s="207" t="s">
        <v>1386</v>
      </c>
    </row>
    <row r="296" spans="1:9">
      <c r="A296" s="192"/>
    </row>
    <row r="297" spans="1:9" ht="42" customHeight="1">
      <c r="A297" s="192"/>
      <c r="B297" s="575" t="s">
        <v>1525</v>
      </c>
      <c r="C297" s="575"/>
      <c r="D297" s="575"/>
      <c r="E297" s="575"/>
      <c r="F297" s="575"/>
      <c r="G297" s="575"/>
      <c r="H297" s="575"/>
      <c r="I297" s="575"/>
    </row>
    <row r="298" spans="1:9">
      <c r="A298" s="192"/>
    </row>
    <row r="299" spans="1:9" ht="21.95" customHeight="1">
      <c r="A299" s="192"/>
      <c r="B299" s="209" t="s">
        <v>1272</v>
      </c>
      <c r="C299" s="209" t="s">
        <v>1087</v>
      </c>
      <c r="D299" s="209" t="s">
        <v>1097</v>
      </c>
      <c r="E299" s="209" t="s">
        <v>26</v>
      </c>
    </row>
    <row r="300" spans="1:9">
      <c r="A300" s="192"/>
      <c r="B300" s="369" t="s">
        <v>1493</v>
      </c>
      <c r="C300" s="370" t="s">
        <v>964</v>
      </c>
      <c r="D300" s="370" t="s">
        <v>1098</v>
      </c>
      <c r="E300" s="371">
        <v>480</v>
      </c>
    </row>
    <row r="301" spans="1:9">
      <c r="A301" s="192"/>
      <c r="B301" s="369" t="s">
        <v>1494</v>
      </c>
      <c r="C301" s="370" t="s">
        <v>1088</v>
      </c>
      <c r="D301" s="370" t="s">
        <v>1099</v>
      </c>
      <c r="E301" s="371">
        <v>320</v>
      </c>
    </row>
    <row r="302" spans="1:9">
      <c r="A302" s="192"/>
      <c r="B302" s="369" t="s">
        <v>1495</v>
      </c>
      <c r="C302" s="370" t="s">
        <v>964</v>
      </c>
      <c r="D302" s="370" t="s">
        <v>1098</v>
      </c>
      <c r="E302" s="371">
        <v>750</v>
      </c>
    </row>
    <row r="303" spans="1:9">
      <c r="A303" s="192"/>
      <c r="B303" s="369" t="s">
        <v>1496</v>
      </c>
      <c r="C303" s="370" t="s">
        <v>1089</v>
      </c>
      <c r="D303" s="370" t="s">
        <v>1105</v>
      </c>
      <c r="E303" s="371">
        <v>210</v>
      </c>
    </row>
    <row r="304" spans="1:9">
      <c r="A304" s="192"/>
      <c r="B304" s="369" t="s">
        <v>1497</v>
      </c>
      <c r="C304" s="370" t="s">
        <v>1088</v>
      </c>
      <c r="D304" s="370" t="s">
        <v>1098</v>
      </c>
      <c r="E304" s="371">
        <v>560</v>
      </c>
    </row>
    <row r="305" spans="1:9">
      <c r="A305" s="192"/>
      <c r="B305" s="369" t="s">
        <v>1498</v>
      </c>
      <c r="C305" s="370" t="s">
        <v>964</v>
      </c>
      <c r="D305" s="370" t="s">
        <v>1099</v>
      </c>
      <c r="E305" s="371">
        <v>430</v>
      </c>
    </row>
    <row r="306" spans="1:9">
      <c r="A306" s="192"/>
      <c r="B306" s="369" t="s">
        <v>1499</v>
      </c>
      <c r="C306" s="370" t="s">
        <v>1500</v>
      </c>
      <c r="D306" s="370" t="s">
        <v>1098</v>
      </c>
      <c r="E306" s="371">
        <v>390</v>
      </c>
    </row>
    <row r="307" spans="1:9">
      <c r="A307" s="192"/>
      <c r="B307" s="369" t="s">
        <v>1501</v>
      </c>
      <c r="C307" s="370" t="s">
        <v>1088</v>
      </c>
      <c r="D307" s="370" t="s">
        <v>1098</v>
      </c>
      <c r="E307" s="371">
        <v>620</v>
      </c>
    </row>
    <row r="308" spans="1:9">
      <c r="A308" s="192"/>
    </row>
    <row r="309" spans="1:9" ht="15" customHeight="1">
      <c r="A309" s="192"/>
      <c r="C309" s="209" t="s">
        <v>1526</v>
      </c>
    </row>
    <row r="310" spans="1:9" ht="15" customHeight="1">
      <c r="A310" s="192"/>
      <c r="B310" s="208" t="s">
        <v>927</v>
      </c>
      <c r="C310" s="398"/>
      <c r="D310" s="304"/>
    </row>
    <row r="311" spans="1:9">
      <c r="A311" s="192"/>
      <c r="B311" s="304"/>
      <c r="C311" s="392"/>
    </row>
    <row r="312" spans="1:9">
      <c r="A312" s="192"/>
      <c r="B312" s="304"/>
      <c r="C312" s="382"/>
    </row>
    <row r="313" spans="1:9">
      <c r="A313" s="192"/>
      <c r="B313" s="304"/>
      <c r="C313" s="382"/>
    </row>
    <row r="314" spans="1:9">
      <c r="A314" s="192"/>
      <c r="B314" s="304"/>
      <c r="C314" s="382"/>
    </row>
    <row r="315" spans="1:9">
      <c r="A315" s="192"/>
      <c r="B315" s="304"/>
      <c r="C315" s="382"/>
    </row>
    <row r="316" spans="1:9">
      <c r="A316" s="192"/>
      <c r="B316" s="304"/>
      <c r="C316" s="382"/>
    </row>
    <row r="317" spans="1:9">
      <c r="A317" s="192"/>
      <c r="B317" s="304"/>
      <c r="C317" s="382"/>
    </row>
    <row r="318" spans="1:9">
      <c r="A318" s="192"/>
    </row>
    <row r="319" spans="1:9">
      <c r="A319" s="192"/>
    </row>
    <row r="320" spans="1:9" ht="15" customHeight="1">
      <c r="A320" s="192"/>
      <c r="H320" s="215" t="s">
        <v>909</v>
      </c>
      <c r="I320" s="216" t="str">
        <f>IF(C310="","À faire",IFERROR(IF(AND(C310="Bernard",C311="Dupont",C312="Dupont",C313="Dupont",C314="Leroy",C315="Martin",C316="Martin",C317="Martin",COUNTA(C318:C318)=0),"✓ Correct","À revoir"),"À revoir"))</f>
        <v>À faire</v>
      </c>
    </row>
    <row r="321" spans="1:9">
      <c r="A321" s="192"/>
    </row>
    <row r="322" spans="1:9">
      <c r="A322" s="192"/>
    </row>
    <row r="323" spans="1:9" ht="24.95" customHeight="1">
      <c r="A323" s="192"/>
      <c r="B323" s="573" t="s">
        <v>1527</v>
      </c>
      <c r="C323" s="573"/>
      <c r="D323" s="573"/>
      <c r="E323" s="573"/>
      <c r="F323" s="573"/>
      <c r="G323" s="573"/>
      <c r="H323" s="206" t="s">
        <v>930</v>
      </c>
      <c r="I323" s="207" t="s">
        <v>1386</v>
      </c>
    </row>
    <row r="324" spans="1:9">
      <c r="A324" s="192"/>
    </row>
    <row r="325" spans="1:9" ht="42" customHeight="1">
      <c r="A325" s="192"/>
      <c r="B325" s="575" t="s">
        <v>1528</v>
      </c>
      <c r="C325" s="575"/>
      <c r="D325" s="575"/>
      <c r="E325" s="575"/>
      <c r="F325" s="575"/>
      <c r="G325" s="575"/>
      <c r="H325" s="575"/>
      <c r="I325" s="575"/>
    </row>
    <row r="326" spans="1:9">
      <c r="A326" s="192"/>
    </row>
    <row r="327" spans="1:9" ht="21.95" customHeight="1">
      <c r="A327" s="192"/>
      <c r="B327" s="209" t="s">
        <v>1272</v>
      </c>
      <c r="C327" s="209" t="s">
        <v>1087</v>
      </c>
      <c r="D327" s="209" t="s">
        <v>1097</v>
      </c>
      <c r="E327" s="209" t="s">
        <v>26</v>
      </c>
    </row>
    <row r="328" spans="1:9">
      <c r="A328" s="192"/>
      <c r="B328" s="369" t="s">
        <v>1493</v>
      </c>
      <c r="C328" s="370" t="s">
        <v>964</v>
      </c>
      <c r="D328" s="370" t="s">
        <v>1098</v>
      </c>
      <c r="E328" s="371">
        <v>480</v>
      </c>
    </row>
    <row r="329" spans="1:9">
      <c r="A329" s="192"/>
      <c r="B329" s="369" t="s">
        <v>1494</v>
      </c>
      <c r="C329" s="370" t="s">
        <v>1088</v>
      </c>
      <c r="D329" s="370" t="s">
        <v>1099</v>
      </c>
      <c r="E329" s="371">
        <v>320</v>
      </c>
    </row>
    <row r="330" spans="1:9">
      <c r="A330" s="192"/>
      <c r="B330" s="369" t="s">
        <v>1495</v>
      </c>
      <c r="C330" s="370" t="s">
        <v>964</v>
      </c>
      <c r="D330" s="370" t="s">
        <v>1098</v>
      </c>
      <c r="E330" s="371">
        <v>750</v>
      </c>
    </row>
    <row r="331" spans="1:9">
      <c r="A331" s="192"/>
      <c r="B331" s="369" t="s">
        <v>1496</v>
      </c>
      <c r="C331" s="370" t="s">
        <v>1089</v>
      </c>
      <c r="D331" s="370" t="s">
        <v>1105</v>
      </c>
      <c r="E331" s="371">
        <v>210</v>
      </c>
    </row>
    <row r="332" spans="1:9">
      <c r="A332" s="192"/>
      <c r="B332" s="369" t="s">
        <v>1497</v>
      </c>
      <c r="C332" s="370" t="s">
        <v>1088</v>
      </c>
      <c r="D332" s="370" t="s">
        <v>1098</v>
      </c>
      <c r="E332" s="371">
        <v>560</v>
      </c>
    </row>
    <row r="333" spans="1:9">
      <c r="A333" s="192"/>
      <c r="B333" s="369" t="s">
        <v>1498</v>
      </c>
      <c r="C333" s="370" t="s">
        <v>964</v>
      </c>
      <c r="D333" s="370" t="s">
        <v>1099</v>
      </c>
      <c r="E333" s="371">
        <v>430</v>
      </c>
    </row>
    <row r="334" spans="1:9">
      <c r="A334" s="192"/>
      <c r="B334" s="369" t="s">
        <v>1499</v>
      </c>
      <c r="C334" s="370" t="s">
        <v>1500</v>
      </c>
      <c r="D334" s="370" t="s">
        <v>1098</v>
      </c>
      <c r="E334" s="371">
        <v>390</v>
      </c>
    </row>
    <row r="335" spans="1:9">
      <c r="A335" s="192"/>
      <c r="B335" s="369" t="s">
        <v>1501</v>
      </c>
      <c r="C335" s="370" t="s">
        <v>1088</v>
      </c>
      <c r="D335" s="370" t="s">
        <v>1098</v>
      </c>
      <c r="E335" s="371">
        <v>620</v>
      </c>
    </row>
    <row r="336" spans="1:9">
      <c r="A336" s="192"/>
    </row>
    <row r="337" spans="1:9" ht="15" customHeight="1">
      <c r="A337" s="192"/>
      <c r="C337" s="209" t="s">
        <v>1529</v>
      </c>
    </row>
    <row r="338" spans="1:9" ht="15" customHeight="1">
      <c r="A338" s="192"/>
      <c r="B338" s="208" t="s">
        <v>927</v>
      </c>
      <c r="C338" s="398"/>
      <c r="D338" s="304"/>
    </row>
    <row r="339" spans="1:9">
      <c r="A339" s="192"/>
      <c r="B339" s="304"/>
      <c r="C339" s="392"/>
    </row>
    <row r="340" spans="1:9">
      <c r="A340" s="192"/>
      <c r="B340" s="304"/>
      <c r="C340" s="382"/>
    </row>
    <row r="341" spans="1:9">
      <c r="A341" s="192"/>
      <c r="B341" s="304"/>
      <c r="C341" s="382"/>
    </row>
    <row r="342" spans="1:9">
      <c r="A342" s="192"/>
      <c r="B342" s="304"/>
      <c r="C342" s="382"/>
    </row>
    <row r="343" spans="1:9">
      <c r="A343" s="192"/>
      <c r="B343" s="304"/>
      <c r="C343" s="382"/>
    </row>
    <row r="344" spans="1:9">
      <c r="A344" s="192"/>
      <c r="B344" s="304"/>
      <c r="C344" s="382"/>
    </row>
    <row r="345" spans="1:9">
      <c r="A345" s="192"/>
      <c r="B345" s="304"/>
      <c r="C345" s="382"/>
    </row>
    <row r="346" spans="1:9">
      <c r="A346" s="192"/>
    </row>
    <row r="347" spans="1:9" ht="21.95" customHeight="1">
      <c r="A347" s="192"/>
    </row>
    <row r="348" spans="1:9" ht="15" customHeight="1">
      <c r="A348" s="192"/>
      <c r="H348" s="215" t="s">
        <v>909</v>
      </c>
      <c r="I348" s="216" t="str">
        <f>IF(C338="","À faire",IFERROR(IF(AND(ABS(C338-750)&lt;0.0001,ABS(C339-620)&lt;0.0001,ABS(C340-560)&lt;0.0001,ABS(C341-480)&lt;0.0001,ABS(C342-430)&lt;0.0001,ABS(C343-390)&lt;0.0001,ABS(C344-320)&lt;0.0001,ABS(C345-210)&lt;0.0001,COUNTA(C346:C346)=0),"✓ Correct","À revoir"),"À revoir"))</f>
        <v>À faire</v>
      </c>
    </row>
    <row r="349" spans="1:9">
      <c r="A349" s="192"/>
    </row>
    <row r="350" spans="1:9">
      <c r="A350" s="192"/>
    </row>
    <row r="351" spans="1:9" ht="24.95" customHeight="1">
      <c r="A351" s="192"/>
      <c r="B351" s="573" t="s">
        <v>1530</v>
      </c>
      <c r="C351" s="573"/>
      <c r="D351" s="573"/>
      <c r="E351" s="573"/>
      <c r="F351" s="573"/>
      <c r="G351" s="573"/>
      <c r="H351" s="206" t="s">
        <v>930</v>
      </c>
      <c r="I351" s="207" t="s">
        <v>1386</v>
      </c>
    </row>
    <row r="352" spans="1:9">
      <c r="A352" s="192"/>
    </row>
    <row r="353" spans="1:9" ht="42" customHeight="1">
      <c r="A353" s="192"/>
      <c r="B353" s="575" t="s">
        <v>1531</v>
      </c>
      <c r="C353" s="575"/>
      <c r="D353" s="575"/>
      <c r="E353" s="575"/>
      <c r="F353" s="575"/>
      <c r="G353" s="575"/>
      <c r="H353" s="575"/>
      <c r="I353" s="575"/>
    </row>
    <row r="354" spans="1:9">
      <c r="A354" s="192"/>
    </row>
    <row r="355" spans="1:9" ht="21.95" customHeight="1">
      <c r="A355" s="192"/>
      <c r="B355" s="209" t="s">
        <v>1272</v>
      </c>
      <c r="C355" s="209" t="s">
        <v>1087</v>
      </c>
      <c r="D355" s="209" t="s">
        <v>1097</v>
      </c>
      <c r="E355" s="209" t="s">
        <v>26</v>
      </c>
    </row>
    <row r="356" spans="1:9">
      <c r="A356" s="192"/>
      <c r="B356" s="369" t="s">
        <v>1493</v>
      </c>
      <c r="C356" s="370" t="s">
        <v>964</v>
      </c>
      <c r="D356" s="370" t="s">
        <v>1098</v>
      </c>
      <c r="E356" s="371">
        <v>480</v>
      </c>
    </row>
    <row r="357" spans="1:9">
      <c r="A357" s="192"/>
      <c r="B357" s="369" t="s">
        <v>1494</v>
      </c>
      <c r="C357" s="370" t="s">
        <v>1088</v>
      </c>
      <c r="D357" s="370" t="s">
        <v>1099</v>
      </c>
      <c r="E357" s="371">
        <v>320</v>
      </c>
    </row>
    <row r="358" spans="1:9">
      <c r="A358" s="192"/>
      <c r="B358" s="369" t="s">
        <v>1495</v>
      </c>
      <c r="C358" s="370" t="s">
        <v>964</v>
      </c>
      <c r="D358" s="370" t="s">
        <v>1098</v>
      </c>
      <c r="E358" s="371">
        <v>750</v>
      </c>
    </row>
    <row r="359" spans="1:9">
      <c r="A359" s="192"/>
      <c r="B359" s="369" t="s">
        <v>1496</v>
      </c>
      <c r="C359" s="370" t="s">
        <v>1089</v>
      </c>
      <c r="D359" s="370" t="s">
        <v>1105</v>
      </c>
      <c r="E359" s="371">
        <v>210</v>
      </c>
    </row>
    <row r="360" spans="1:9">
      <c r="A360" s="192"/>
      <c r="B360" s="369" t="s">
        <v>1497</v>
      </c>
      <c r="C360" s="370" t="s">
        <v>1088</v>
      </c>
      <c r="D360" s="370" t="s">
        <v>1098</v>
      </c>
      <c r="E360" s="371">
        <v>560</v>
      </c>
    </row>
    <row r="361" spans="1:9">
      <c r="A361" s="192"/>
      <c r="B361" s="369" t="s">
        <v>1498</v>
      </c>
      <c r="C361" s="370" t="s">
        <v>964</v>
      </c>
      <c r="D361" s="370" t="s">
        <v>1099</v>
      </c>
      <c r="E361" s="371">
        <v>430</v>
      </c>
    </row>
    <row r="362" spans="1:9">
      <c r="A362" s="192"/>
      <c r="B362" s="369" t="s">
        <v>1499</v>
      </c>
      <c r="C362" s="370" t="s">
        <v>1500</v>
      </c>
      <c r="D362" s="370" t="s">
        <v>1098</v>
      </c>
      <c r="E362" s="371">
        <v>390</v>
      </c>
    </row>
    <row r="363" spans="1:9">
      <c r="A363" s="192"/>
      <c r="B363" s="369" t="s">
        <v>1501</v>
      </c>
      <c r="C363" s="370" t="s">
        <v>1088</v>
      </c>
      <c r="D363" s="370" t="s">
        <v>1098</v>
      </c>
      <c r="E363" s="371">
        <v>620</v>
      </c>
    </row>
    <row r="364" spans="1:9">
      <c r="A364" s="192"/>
    </row>
    <row r="365" spans="1:9" ht="21.95" customHeight="1">
      <c r="A365" s="192"/>
      <c r="C365" s="209" t="s">
        <v>1272</v>
      </c>
      <c r="D365" s="374" t="s">
        <v>1087</v>
      </c>
      <c r="E365" s="374" t="s">
        <v>1097</v>
      </c>
      <c r="F365" s="374" t="s">
        <v>26</v>
      </c>
    </row>
    <row r="366" spans="1:9" ht="15" customHeight="1">
      <c r="A366" s="192"/>
      <c r="B366" s="208" t="s">
        <v>927</v>
      </c>
      <c r="C366" s="398"/>
      <c r="D366" s="383"/>
      <c r="E366" s="383"/>
      <c r="F366" s="381"/>
    </row>
    <row r="367" spans="1:9" ht="21.95" customHeight="1">
      <c r="A367" s="192"/>
      <c r="B367" s="304"/>
      <c r="C367" s="393"/>
      <c r="D367" s="383"/>
      <c r="E367" s="383"/>
      <c r="F367" s="381"/>
    </row>
    <row r="368" spans="1:9" ht="21.95" customHeight="1">
      <c r="A368" s="192"/>
      <c r="B368" s="304"/>
      <c r="C368" s="380"/>
      <c r="D368" s="383"/>
      <c r="E368" s="383"/>
      <c r="F368" s="381"/>
    </row>
    <row r="369" spans="1:9" ht="21.95" customHeight="1">
      <c r="A369" s="192"/>
      <c r="B369" s="304"/>
      <c r="C369" s="380"/>
      <c r="D369" s="383"/>
      <c r="E369" s="383"/>
      <c r="F369" s="381"/>
    </row>
    <row r="370" spans="1:9">
      <c r="A370" s="192"/>
      <c r="B370" s="304"/>
      <c r="C370" s="380"/>
      <c r="D370" s="383"/>
      <c r="E370" s="383"/>
      <c r="F370" s="381"/>
    </row>
    <row r="371" spans="1:9">
      <c r="A371" s="192"/>
      <c r="B371" s="304"/>
      <c r="C371" s="380"/>
      <c r="D371" s="383"/>
      <c r="E371" s="383"/>
      <c r="F371" s="381"/>
    </row>
    <row r="372" spans="1:9">
      <c r="A372" s="192"/>
      <c r="B372" s="304"/>
      <c r="C372" s="380"/>
      <c r="D372" s="383"/>
      <c r="E372" s="383"/>
      <c r="F372" s="381"/>
    </row>
    <row r="373" spans="1:9">
      <c r="A373" s="192"/>
      <c r="B373" s="304"/>
      <c r="C373" s="380"/>
      <c r="D373" s="383"/>
      <c r="E373" s="383"/>
      <c r="F373" s="381"/>
    </row>
    <row r="374" spans="1:9">
      <c r="A374" s="192"/>
    </row>
    <row r="375" spans="1:9">
      <c r="A375" s="192"/>
    </row>
    <row r="376" spans="1:9" ht="15" customHeight="1">
      <c r="A376" s="192"/>
      <c r="H376" s="215" t="s">
        <v>909</v>
      </c>
      <c r="I376" s="216" t="str">
        <f>IF(C366="","À faire",IFERROR(IF(AND(C366="C-103",D366="Martin",E366="Payée",ABS(F366-750)&lt;0.0001,C367="C-108",D367="Dupont",E367="Payée",ABS(F367-620)&lt;0.0001,C368="C-105",D368="Dupont",E368="Payée",ABS(F368-560)&lt;0.0001,C369="C-101",D369="Martin",E369="Payée",ABS(F369-480)&lt;0.0001,C370="C-106",D370="Martin",E370="En attente",ABS(F370-430)&lt;0.0001,C371="C-107",D371="Bernard",E371="Payée",ABS(F371-390)&lt;0.0001,C372="C-102",D372="Dupont",E372="En attente",ABS(F372-320)&lt;0.0001,C373="C-104",D373="Leroy",E373="Annulée",ABS(F373-210)&lt;0.0001,COUNTA(C374:F374)=0),"✓ Correct","À revoir"),"À revoir"))</f>
        <v>À faire</v>
      </c>
    </row>
    <row r="377" spans="1:9">
      <c r="A377" s="192"/>
    </row>
    <row r="378" spans="1:9">
      <c r="A378" s="192"/>
    </row>
    <row r="379" spans="1:9" ht="24.95" customHeight="1">
      <c r="A379" s="192"/>
      <c r="B379" s="573" t="s">
        <v>1532</v>
      </c>
      <c r="C379" s="573"/>
      <c r="D379" s="573"/>
      <c r="E379" s="573"/>
      <c r="F379" s="573"/>
      <c r="G379" s="573"/>
      <c r="H379" s="206" t="s">
        <v>930</v>
      </c>
      <c r="I379" s="207" t="s">
        <v>1386</v>
      </c>
    </row>
    <row r="380" spans="1:9">
      <c r="A380" s="192"/>
    </row>
    <row r="381" spans="1:9" ht="42" customHeight="1">
      <c r="A381" s="192"/>
      <c r="B381" s="575" t="s">
        <v>1533</v>
      </c>
      <c r="C381" s="575"/>
      <c r="D381" s="575"/>
      <c r="E381" s="575"/>
      <c r="F381" s="575"/>
      <c r="G381" s="575"/>
      <c r="H381" s="575"/>
      <c r="I381" s="575"/>
    </row>
    <row r="382" spans="1:9">
      <c r="A382" s="192"/>
    </row>
    <row r="383" spans="1:9" ht="21.95" customHeight="1">
      <c r="A383" s="192"/>
      <c r="B383" s="209" t="s">
        <v>24</v>
      </c>
      <c r="C383" s="366" t="s">
        <v>934</v>
      </c>
      <c r="D383" s="367" t="s">
        <v>935</v>
      </c>
      <c r="E383" s="367" t="s">
        <v>1084</v>
      </c>
      <c r="F383" s="368" t="s">
        <v>936</v>
      </c>
    </row>
    <row r="384" spans="1:9" ht="21.95" customHeight="1">
      <c r="A384" s="192"/>
      <c r="B384" s="210" t="s">
        <v>1312</v>
      </c>
      <c r="C384" s="366">
        <v>12</v>
      </c>
      <c r="D384" s="367">
        <v>8</v>
      </c>
      <c r="E384" s="367">
        <v>7</v>
      </c>
      <c r="F384" s="368">
        <v>20</v>
      </c>
    </row>
    <row r="385" spans="1:9" ht="21.95" customHeight="1">
      <c r="A385" s="192"/>
      <c r="B385" s="211" t="s">
        <v>1441</v>
      </c>
      <c r="C385" s="212">
        <v>24.9</v>
      </c>
      <c r="D385" s="213">
        <v>19.899999999999999</v>
      </c>
      <c r="E385" s="213">
        <v>39.9</v>
      </c>
      <c r="F385" s="214">
        <v>29.9</v>
      </c>
    </row>
    <row r="386" spans="1:9" ht="21.95" customHeight="1">
      <c r="A386" s="192"/>
    </row>
    <row r="387" spans="1:9" ht="21.95" customHeight="1">
      <c r="A387" s="192"/>
    </row>
    <row r="388" spans="1:9" ht="15" customHeight="1">
      <c r="A388" s="192"/>
      <c r="C388" s="209" t="s">
        <v>1534</v>
      </c>
      <c r="D388" s="374" t="s">
        <v>1535</v>
      </c>
      <c r="E388" s="374" t="s">
        <v>1536</v>
      </c>
      <c r="F388" s="374" t="s">
        <v>1537</v>
      </c>
    </row>
    <row r="389" spans="1:9" ht="15" customHeight="1">
      <c r="A389" s="192"/>
      <c r="B389" s="208" t="s">
        <v>927</v>
      </c>
      <c r="C389" s="398"/>
      <c r="D389" s="383"/>
      <c r="E389" s="383"/>
      <c r="F389" s="381"/>
    </row>
    <row r="390" spans="1:9">
      <c r="A390" s="192"/>
      <c r="B390" s="304"/>
      <c r="C390" s="393"/>
      <c r="D390" s="383"/>
      <c r="E390" s="383"/>
      <c r="F390" s="381"/>
    </row>
    <row r="391" spans="1:9">
      <c r="A391" s="192"/>
      <c r="B391" s="304"/>
      <c r="C391" s="380"/>
      <c r="D391" s="383"/>
      <c r="E391" s="383"/>
      <c r="F391" s="381"/>
    </row>
    <row r="392" spans="1:9">
      <c r="A392" s="192"/>
    </row>
    <row r="393" spans="1:9">
      <c r="A393" s="192"/>
    </row>
    <row r="394" spans="1:9" ht="15" customHeight="1">
      <c r="A394" s="192"/>
      <c r="H394" s="215" t="s">
        <v>909</v>
      </c>
      <c r="I394" s="216" t="str">
        <f>IF(C389="","À faire",IFERROR(IF(AND(C389="Casque",D389="Clavier",E389="Souris",F389="Écran",C390=20,D390=12,E390=8,F390=7,ABS(C391-29.9)&lt;0.0001,ABS(D391-24.9)&lt;0.0001,ABS(E391-19.9)&lt;0.0001,ABS(F391-39.9)&lt;0.0001),"✓ Correct","À revoir"),"À revoir"))</f>
        <v>À faire</v>
      </c>
    </row>
    <row r="395" spans="1:9">
      <c r="A395" s="192"/>
    </row>
    <row r="396" spans="1:9">
      <c r="A396" s="192"/>
    </row>
    <row r="397" spans="1:9">
      <c r="A397" s="192"/>
    </row>
    <row r="398" spans="1:9">
      <c r="A398" s="192"/>
    </row>
    <row r="399" spans="1:9" ht="24" customHeight="1">
      <c r="A399" s="192"/>
      <c r="B399" s="574" t="s">
        <v>464</v>
      </c>
      <c r="C399" s="574"/>
      <c r="D399" s="574"/>
      <c r="E399" s="574"/>
      <c r="F399" s="574"/>
      <c r="G399" s="574"/>
      <c r="H399" s="574"/>
      <c r="I399" s="574"/>
    </row>
    <row r="400" spans="1:9">
      <c r="A400" s="192"/>
      <c r="B400" s="192"/>
      <c r="C400" s="192"/>
      <c r="D400" s="192"/>
      <c r="E400" s="192"/>
      <c r="F400" s="192"/>
      <c r="G400" s="192"/>
      <c r="H400" s="192"/>
      <c r="I400" s="192"/>
    </row>
    <row r="401" spans="1:9" ht="24.95" customHeight="1">
      <c r="A401" s="192"/>
      <c r="B401" s="571" t="s">
        <v>1538</v>
      </c>
      <c r="C401" s="571"/>
      <c r="D401" s="571"/>
      <c r="E401" s="571"/>
      <c r="F401" s="571"/>
      <c r="G401" s="571"/>
      <c r="H401" s="193" t="s">
        <v>930</v>
      </c>
      <c r="I401" s="194" t="s">
        <v>1386</v>
      </c>
    </row>
    <row r="402" spans="1:9">
      <c r="A402" s="192"/>
      <c r="B402" s="192"/>
      <c r="C402" s="192"/>
      <c r="D402" s="192"/>
      <c r="E402" s="192"/>
      <c r="F402" s="192"/>
      <c r="G402" s="192"/>
      <c r="H402" s="192"/>
      <c r="I402" s="192"/>
    </row>
    <row r="403" spans="1:9" ht="42" customHeight="1">
      <c r="A403" s="192"/>
      <c r="B403" s="572" t="s">
        <v>1539</v>
      </c>
      <c r="C403" s="572"/>
      <c r="D403" s="572"/>
      <c r="E403" s="572"/>
      <c r="F403" s="572"/>
      <c r="G403" s="572"/>
      <c r="H403" s="572"/>
      <c r="I403" s="572"/>
    </row>
    <row r="404" spans="1:9">
      <c r="A404" s="192"/>
      <c r="B404" s="192"/>
      <c r="C404" s="192"/>
      <c r="D404" s="192"/>
      <c r="E404" s="192"/>
      <c r="F404" s="192"/>
      <c r="G404" s="192"/>
      <c r="H404" s="192"/>
      <c r="I404" s="192"/>
    </row>
    <row r="405" spans="1:9" ht="21.95" customHeight="1">
      <c r="A405" s="192"/>
      <c r="B405" s="197" t="s">
        <v>1272</v>
      </c>
      <c r="C405" s="197" t="s">
        <v>1087</v>
      </c>
      <c r="D405" s="197" t="s">
        <v>1097</v>
      </c>
      <c r="E405" s="197" t="s">
        <v>26</v>
      </c>
      <c r="F405" s="192"/>
      <c r="G405" s="192"/>
      <c r="H405" s="192"/>
      <c r="I405" s="192"/>
    </row>
    <row r="406" spans="1:9">
      <c r="A406" s="192"/>
      <c r="B406" s="362" t="s">
        <v>1493</v>
      </c>
      <c r="C406" s="363" t="s">
        <v>964</v>
      </c>
      <c r="D406" s="363" t="s">
        <v>1098</v>
      </c>
      <c r="E406" s="364">
        <v>480</v>
      </c>
      <c r="F406" s="192"/>
      <c r="G406" s="192"/>
      <c r="H406" s="192"/>
      <c r="I406" s="192"/>
    </row>
    <row r="407" spans="1:9">
      <c r="A407" s="192"/>
      <c r="B407" s="362" t="s">
        <v>1494</v>
      </c>
      <c r="C407" s="363" t="s">
        <v>1088</v>
      </c>
      <c r="D407" s="363" t="s">
        <v>1099</v>
      </c>
      <c r="E407" s="364">
        <v>320</v>
      </c>
      <c r="F407" s="192"/>
      <c r="G407" s="192"/>
      <c r="H407" s="192"/>
      <c r="I407" s="192"/>
    </row>
    <row r="408" spans="1:9">
      <c r="A408" s="192"/>
      <c r="B408" s="362" t="s">
        <v>1495</v>
      </c>
      <c r="C408" s="363" t="s">
        <v>964</v>
      </c>
      <c r="D408" s="363" t="s">
        <v>1098</v>
      </c>
      <c r="E408" s="364">
        <v>750</v>
      </c>
      <c r="F408" s="192"/>
      <c r="G408" s="192"/>
      <c r="H408" s="192"/>
      <c r="I408" s="192"/>
    </row>
    <row r="409" spans="1:9">
      <c r="A409" s="192"/>
      <c r="B409" s="362" t="s">
        <v>1496</v>
      </c>
      <c r="C409" s="363" t="s">
        <v>1089</v>
      </c>
      <c r="D409" s="363" t="s">
        <v>1105</v>
      </c>
      <c r="E409" s="364">
        <v>210</v>
      </c>
      <c r="F409" s="192"/>
      <c r="G409" s="192"/>
      <c r="H409" s="192"/>
      <c r="I409" s="192"/>
    </row>
    <row r="410" spans="1:9">
      <c r="A410" s="192"/>
      <c r="B410" s="362" t="s">
        <v>1497</v>
      </c>
      <c r="C410" s="363" t="s">
        <v>1088</v>
      </c>
      <c r="D410" s="363" t="s">
        <v>1098</v>
      </c>
      <c r="E410" s="364">
        <v>560</v>
      </c>
      <c r="F410" s="192"/>
      <c r="G410" s="192"/>
      <c r="H410" s="192"/>
      <c r="I410" s="192"/>
    </row>
    <row r="411" spans="1:9">
      <c r="A411" s="192"/>
      <c r="B411" s="362" t="s">
        <v>1498</v>
      </c>
      <c r="C411" s="363" t="s">
        <v>964</v>
      </c>
      <c r="D411" s="363" t="s">
        <v>1099</v>
      </c>
      <c r="E411" s="364">
        <v>430</v>
      </c>
      <c r="F411" s="192"/>
      <c r="G411" s="192"/>
      <c r="H411" s="192"/>
      <c r="I411" s="192"/>
    </row>
    <row r="412" spans="1:9">
      <c r="A412" s="192"/>
      <c r="B412" s="362" t="s">
        <v>1499</v>
      </c>
      <c r="C412" s="363" t="s">
        <v>1500</v>
      </c>
      <c r="D412" s="363" t="s">
        <v>1098</v>
      </c>
      <c r="E412" s="364">
        <v>390</v>
      </c>
      <c r="F412" s="192"/>
      <c r="G412" s="192"/>
      <c r="H412" s="192"/>
      <c r="I412" s="192"/>
    </row>
    <row r="413" spans="1:9">
      <c r="A413" s="192"/>
      <c r="B413" s="362" t="s">
        <v>1501</v>
      </c>
      <c r="C413" s="363" t="s">
        <v>1088</v>
      </c>
      <c r="D413" s="363" t="s">
        <v>1098</v>
      </c>
      <c r="E413" s="364">
        <v>620</v>
      </c>
      <c r="F413" s="192"/>
      <c r="G413" s="192"/>
      <c r="H413" s="192"/>
      <c r="I413" s="192"/>
    </row>
    <row r="414" spans="1:9">
      <c r="A414" s="192"/>
      <c r="B414" s="192"/>
      <c r="C414" s="192"/>
      <c r="D414" s="192"/>
      <c r="E414" s="192"/>
      <c r="F414" s="192"/>
      <c r="G414" s="192"/>
      <c r="H414" s="192"/>
      <c r="I414" s="192"/>
    </row>
    <row r="415" spans="1:9" ht="15">
      <c r="A415" s="192"/>
      <c r="B415" s="192"/>
      <c r="C415" s="197" t="s">
        <v>1526</v>
      </c>
      <c r="D415" s="192"/>
      <c r="E415" s="192"/>
      <c r="F415" s="192"/>
      <c r="G415" s="192"/>
      <c r="H415" s="192"/>
      <c r="I415" s="192"/>
    </row>
    <row r="416" spans="1:9" ht="15">
      <c r="A416" s="192"/>
      <c r="B416" s="198" t="s">
        <v>927</v>
      </c>
      <c r="C416" s="399"/>
      <c r="D416" s="356"/>
      <c r="E416" s="192"/>
      <c r="F416" s="192"/>
      <c r="G416" s="192"/>
      <c r="H416" s="192"/>
      <c r="I416" s="192"/>
    </row>
    <row r="417" spans="1:9">
      <c r="A417" s="192"/>
      <c r="B417" s="356"/>
      <c r="C417" s="394"/>
      <c r="D417" s="192"/>
      <c r="E417" s="192"/>
      <c r="F417" s="192"/>
      <c r="G417" s="192"/>
      <c r="H417" s="192"/>
      <c r="I417" s="192"/>
    </row>
    <row r="418" spans="1:9">
      <c r="A418" s="192"/>
      <c r="B418" s="356"/>
      <c r="C418" s="384"/>
      <c r="D418" s="192"/>
      <c r="E418" s="192"/>
      <c r="F418" s="192"/>
      <c r="G418" s="192"/>
      <c r="H418" s="192"/>
      <c r="I418" s="192"/>
    </row>
    <row r="419" spans="1:9">
      <c r="A419" s="192"/>
      <c r="B419" s="356"/>
      <c r="C419" s="384"/>
      <c r="D419" s="192"/>
      <c r="E419" s="192"/>
      <c r="F419" s="192"/>
      <c r="G419" s="192"/>
      <c r="H419" s="192"/>
      <c r="I419" s="192"/>
    </row>
    <row r="420" spans="1:9">
      <c r="A420" s="192"/>
      <c r="B420" s="356"/>
      <c r="C420" s="384"/>
      <c r="D420" s="192"/>
      <c r="E420" s="192"/>
      <c r="F420" s="192"/>
      <c r="G420" s="192"/>
      <c r="H420" s="192"/>
      <c r="I420" s="192"/>
    </row>
    <row r="421" spans="1:9">
      <c r="A421" s="192"/>
      <c r="B421" s="356"/>
      <c r="C421" s="384"/>
      <c r="D421" s="192"/>
      <c r="E421" s="192"/>
      <c r="F421" s="192"/>
      <c r="G421" s="192"/>
      <c r="H421" s="192"/>
      <c r="I421" s="192"/>
    </row>
    <row r="422" spans="1:9">
      <c r="A422" s="192"/>
      <c r="B422" s="356"/>
      <c r="C422" s="384"/>
      <c r="D422" s="192"/>
      <c r="E422" s="192"/>
      <c r="F422" s="192"/>
      <c r="G422" s="192"/>
      <c r="H422" s="192"/>
      <c r="I422" s="192"/>
    </row>
    <row r="423" spans="1:9">
      <c r="A423" s="192"/>
      <c r="B423" s="356"/>
      <c r="C423" s="384"/>
      <c r="D423" s="192"/>
      <c r="E423" s="192"/>
      <c r="F423" s="192"/>
      <c r="G423" s="192"/>
      <c r="H423" s="192"/>
      <c r="I423" s="192"/>
    </row>
    <row r="424" spans="1:9">
      <c r="A424" s="192"/>
      <c r="B424" s="356"/>
      <c r="C424" s="378"/>
      <c r="D424" s="192"/>
      <c r="E424" s="192"/>
      <c r="F424" s="192"/>
      <c r="G424" s="192"/>
      <c r="H424" s="192"/>
      <c r="I424" s="192"/>
    </row>
    <row r="425" spans="1:9">
      <c r="A425" s="192"/>
      <c r="B425" s="192"/>
      <c r="C425" s="192"/>
      <c r="D425" s="192"/>
      <c r="E425" s="192"/>
      <c r="F425" s="192"/>
      <c r="G425" s="192"/>
      <c r="H425" s="192"/>
      <c r="I425" s="192"/>
    </row>
    <row r="426" spans="1:9" ht="15">
      <c r="A426" s="192"/>
      <c r="B426" s="192"/>
      <c r="C426" s="192"/>
      <c r="D426" s="192"/>
      <c r="E426" s="192"/>
      <c r="F426" s="192"/>
      <c r="G426" s="192"/>
      <c r="H426" s="195" t="s">
        <v>909</v>
      </c>
      <c r="I426" s="196" t="str">
        <f>IF(C416="","À faire",IFERROR(IF(AND(C416="Martin",C417="Dupont",C418="Dupont",C419="Martin",C420="Martin",C421="Bernard",C422="Dupont",C423="Leroy"),"✓ Correct","À revoir"),"À revoir"))</f>
        <v>À faire</v>
      </c>
    </row>
    <row r="427" spans="1:9">
      <c r="A427" s="192"/>
      <c r="B427" s="192"/>
      <c r="C427" s="192"/>
      <c r="D427" s="192"/>
      <c r="E427" s="192"/>
      <c r="F427" s="192"/>
      <c r="G427" s="192"/>
      <c r="H427" s="192"/>
      <c r="I427" s="192"/>
    </row>
    <row r="428" spans="1:9">
      <c r="A428" s="192"/>
      <c r="B428" s="192"/>
      <c r="C428" s="192"/>
      <c r="D428" s="192"/>
      <c r="E428" s="192"/>
      <c r="F428" s="192"/>
      <c r="G428" s="192"/>
      <c r="H428" s="192"/>
      <c r="I428" s="192"/>
    </row>
    <row r="429" spans="1:9" ht="24.95" customHeight="1">
      <c r="A429" s="192"/>
      <c r="B429" s="571" t="s">
        <v>1540</v>
      </c>
      <c r="C429" s="571"/>
      <c r="D429" s="571"/>
      <c r="E429" s="571"/>
      <c r="F429" s="571"/>
      <c r="G429" s="571"/>
      <c r="H429" s="193" t="s">
        <v>947</v>
      </c>
      <c r="I429" s="194" t="s">
        <v>1386</v>
      </c>
    </row>
    <row r="430" spans="1:9">
      <c r="A430" s="192"/>
      <c r="B430" s="192"/>
      <c r="C430" s="192"/>
      <c r="D430" s="192"/>
      <c r="E430" s="192"/>
      <c r="F430" s="192"/>
      <c r="G430" s="192"/>
      <c r="H430" s="192"/>
      <c r="I430" s="192"/>
    </row>
    <row r="431" spans="1:9" ht="42" customHeight="1">
      <c r="A431" s="192"/>
      <c r="B431" s="572" t="s">
        <v>1541</v>
      </c>
      <c r="C431" s="572"/>
      <c r="D431" s="572"/>
      <c r="E431" s="572"/>
      <c r="F431" s="572"/>
      <c r="G431" s="572"/>
      <c r="H431" s="572"/>
      <c r="I431" s="572"/>
    </row>
    <row r="432" spans="1:9">
      <c r="A432" s="192"/>
      <c r="B432" s="192"/>
      <c r="C432" s="192"/>
      <c r="D432" s="192"/>
      <c r="E432" s="192"/>
      <c r="F432" s="192"/>
      <c r="G432" s="192"/>
      <c r="H432" s="192"/>
      <c r="I432" s="192"/>
    </row>
    <row r="433" spans="1:9" ht="21.95" customHeight="1">
      <c r="A433" s="192"/>
      <c r="B433" s="197" t="s">
        <v>1272</v>
      </c>
      <c r="C433" s="197" t="s">
        <v>1087</v>
      </c>
      <c r="D433" s="197" t="s">
        <v>1097</v>
      </c>
      <c r="E433" s="197" t="s">
        <v>26</v>
      </c>
      <c r="F433" s="192"/>
      <c r="G433" s="192"/>
      <c r="H433" s="192"/>
      <c r="I433" s="192"/>
    </row>
    <row r="434" spans="1:9">
      <c r="A434" s="192"/>
      <c r="B434" s="362" t="s">
        <v>1493</v>
      </c>
      <c r="C434" s="363" t="s">
        <v>964</v>
      </c>
      <c r="D434" s="363" t="s">
        <v>1098</v>
      </c>
      <c r="E434" s="364">
        <v>480</v>
      </c>
      <c r="F434" s="192"/>
      <c r="G434" s="192"/>
      <c r="H434" s="192"/>
      <c r="I434" s="192"/>
    </row>
    <row r="435" spans="1:9">
      <c r="A435" s="192"/>
      <c r="B435" s="362" t="s">
        <v>1494</v>
      </c>
      <c r="C435" s="363" t="s">
        <v>1088</v>
      </c>
      <c r="D435" s="363" t="s">
        <v>1099</v>
      </c>
      <c r="E435" s="364">
        <v>320</v>
      </c>
      <c r="F435" s="192"/>
      <c r="G435" s="192"/>
      <c r="H435" s="192"/>
      <c r="I435" s="192"/>
    </row>
    <row r="436" spans="1:9">
      <c r="A436" s="192"/>
      <c r="B436" s="362" t="s">
        <v>1495</v>
      </c>
      <c r="C436" s="363" t="s">
        <v>964</v>
      </c>
      <c r="D436" s="363" t="s">
        <v>1098</v>
      </c>
      <c r="E436" s="364">
        <v>750</v>
      </c>
      <c r="F436" s="192"/>
      <c r="G436" s="192"/>
      <c r="H436" s="192"/>
      <c r="I436" s="192"/>
    </row>
    <row r="437" spans="1:9">
      <c r="A437" s="192"/>
      <c r="B437" s="362" t="s">
        <v>1496</v>
      </c>
      <c r="C437" s="363" t="s">
        <v>1089</v>
      </c>
      <c r="D437" s="363" t="s">
        <v>1105</v>
      </c>
      <c r="E437" s="364">
        <v>210</v>
      </c>
      <c r="F437" s="192"/>
      <c r="G437" s="192"/>
      <c r="H437" s="192"/>
      <c r="I437" s="192"/>
    </row>
    <row r="438" spans="1:9">
      <c r="A438" s="192"/>
      <c r="B438" s="362" t="s">
        <v>1497</v>
      </c>
      <c r="C438" s="363" t="s">
        <v>1088</v>
      </c>
      <c r="D438" s="363" t="s">
        <v>1098</v>
      </c>
      <c r="E438" s="364">
        <v>560</v>
      </c>
      <c r="F438" s="192"/>
      <c r="G438" s="192"/>
      <c r="H438" s="192"/>
      <c r="I438" s="192"/>
    </row>
    <row r="439" spans="1:9">
      <c r="A439" s="192"/>
      <c r="B439" s="362" t="s">
        <v>1498</v>
      </c>
      <c r="C439" s="363" t="s">
        <v>964</v>
      </c>
      <c r="D439" s="363" t="s">
        <v>1099</v>
      </c>
      <c r="E439" s="364">
        <v>430</v>
      </c>
      <c r="F439" s="192"/>
      <c r="G439" s="192"/>
      <c r="H439" s="192"/>
      <c r="I439" s="192"/>
    </row>
    <row r="440" spans="1:9">
      <c r="A440" s="192"/>
      <c r="B440" s="362" t="s">
        <v>1499</v>
      </c>
      <c r="C440" s="363" t="s">
        <v>1500</v>
      </c>
      <c r="D440" s="363" t="s">
        <v>1098</v>
      </c>
      <c r="E440" s="364">
        <v>390</v>
      </c>
      <c r="F440" s="192"/>
      <c r="G440" s="192"/>
      <c r="H440" s="192"/>
      <c r="I440" s="192"/>
    </row>
    <row r="441" spans="1:9">
      <c r="A441" s="192"/>
      <c r="B441" s="362" t="s">
        <v>1501</v>
      </c>
      <c r="C441" s="363" t="s">
        <v>1088</v>
      </c>
      <c r="D441" s="363" t="s">
        <v>1098</v>
      </c>
      <c r="E441" s="364">
        <v>620</v>
      </c>
      <c r="F441" s="192"/>
      <c r="G441" s="192"/>
      <c r="H441" s="192"/>
      <c r="I441" s="192"/>
    </row>
    <row r="442" spans="1:9">
      <c r="A442" s="192"/>
      <c r="B442" s="192"/>
      <c r="C442" s="192"/>
      <c r="D442" s="192"/>
      <c r="E442" s="192"/>
      <c r="F442" s="192"/>
      <c r="G442" s="192"/>
      <c r="H442" s="192"/>
      <c r="I442" s="192"/>
    </row>
    <row r="443" spans="1:9" ht="21.95" customHeight="1">
      <c r="A443" s="192"/>
      <c r="B443" s="192"/>
      <c r="C443" s="197" t="s">
        <v>1272</v>
      </c>
      <c r="D443" s="373" t="s">
        <v>1087</v>
      </c>
      <c r="E443" s="373" t="s">
        <v>1097</v>
      </c>
      <c r="F443" s="373" t="s">
        <v>26</v>
      </c>
      <c r="G443" s="192"/>
      <c r="H443" s="192"/>
      <c r="I443" s="192"/>
    </row>
    <row r="444" spans="1:9" ht="15">
      <c r="A444" s="192"/>
      <c r="B444" s="198" t="s">
        <v>927</v>
      </c>
      <c r="C444" s="399"/>
      <c r="D444" s="386"/>
      <c r="E444" s="386"/>
      <c r="F444" s="387"/>
      <c r="G444" s="192"/>
      <c r="H444" s="192"/>
      <c r="I444" s="192"/>
    </row>
    <row r="445" spans="1:9">
      <c r="A445" s="192"/>
      <c r="B445" s="356"/>
      <c r="C445" s="395"/>
      <c r="D445" s="386"/>
      <c r="E445" s="386"/>
      <c r="F445" s="387"/>
      <c r="G445" s="192"/>
      <c r="H445" s="192"/>
      <c r="I445" s="192"/>
    </row>
    <row r="446" spans="1:9">
      <c r="A446" s="192"/>
      <c r="B446" s="356"/>
      <c r="C446" s="385"/>
      <c r="D446" s="386"/>
      <c r="E446" s="386"/>
      <c r="F446" s="387"/>
      <c r="G446" s="192"/>
      <c r="H446" s="192"/>
      <c r="I446" s="192"/>
    </row>
    <row r="447" spans="1:9">
      <c r="A447" s="192"/>
      <c r="B447" s="356"/>
      <c r="C447" s="385"/>
      <c r="D447" s="386"/>
      <c r="E447" s="386"/>
      <c r="F447" s="387"/>
      <c r="G447" s="192"/>
      <c r="H447" s="192"/>
      <c r="I447" s="192"/>
    </row>
    <row r="448" spans="1:9">
      <c r="A448" s="192"/>
      <c r="B448" s="356"/>
      <c r="C448" s="385"/>
      <c r="D448" s="386"/>
      <c r="E448" s="386"/>
      <c r="F448" s="387"/>
      <c r="G448" s="192"/>
      <c r="H448" s="192"/>
      <c r="I448" s="192"/>
    </row>
    <row r="449" spans="1:9">
      <c r="A449" s="192"/>
      <c r="B449" s="356"/>
      <c r="C449" s="385"/>
      <c r="D449" s="386"/>
      <c r="E449" s="386"/>
      <c r="F449" s="387"/>
      <c r="G449" s="192"/>
      <c r="H449" s="192"/>
      <c r="I449" s="192"/>
    </row>
    <row r="450" spans="1:9">
      <c r="A450" s="192"/>
      <c r="B450" s="356"/>
      <c r="C450" s="385"/>
      <c r="D450" s="386"/>
      <c r="E450" s="386"/>
      <c r="F450" s="387"/>
      <c r="G450" s="192"/>
      <c r="H450" s="192"/>
      <c r="I450" s="192"/>
    </row>
    <row r="451" spans="1:9">
      <c r="A451" s="192"/>
      <c r="B451" s="356"/>
      <c r="C451" s="385"/>
      <c r="D451" s="386"/>
      <c r="E451" s="386"/>
      <c r="F451" s="387"/>
      <c r="G451" s="192"/>
      <c r="H451" s="192"/>
      <c r="I451" s="192"/>
    </row>
    <row r="452" spans="1:9">
      <c r="A452" s="192"/>
      <c r="B452" s="356"/>
      <c r="C452" s="375"/>
      <c r="D452" s="376"/>
      <c r="E452" s="376"/>
      <c r="F452" s="377"/>
      <c r="G452" s="192"/>
      <c r="H452" s="192"/>
      <c r="I452" s="192"/>
    </row>
    <row r="453" spans="1:9">
      <c r="A453" s="192"/>
      <c r="B453" s="192"/>
      <c r="C453" s="192"/>
      <c r="D453" s="192"/>
      <c r="E453" s="192"/>
      <c r="F453" s="192"/>
      <c r="G453" s="192"/>
      <c r="H453" s="192"/>
      <c r="I453" s="192"/>
    </row>
    <row r="454" spans="1:9" ht="15">
      <c r="A454" s="192"/>
      <c r="B454" s="192"/>
      <c r="C454" s="192"/>
      <c r="D454" s="192"/>
      <c r="E454" s="192"/>
      <c r="F454" s="192"/>
      <c r="G454" s="192"/>
      <c r="H454" s="195" t="s">
        <v>909</v>
      </c>
      <c r="I454" s="196" t="str">
        <f>IF(C444="","À faire",IFERROR(IF(AND(C444="C-107",D444="Bernard",E444="Payée",ABS(F444-390)&lt;0.0001,C445="C-108",D445="Dupont",E445="Payée",ABS(F445-620)&lt;0.0001,C446="C-105",D446="Dupont",E446="Payée",ABS(F446-560)&lt;0.0001,C447="C-102",D447="Dupont",E447="En attente",ABS(F447-320)&lt;0.0001,C448="C-104",D448="Leroy",E448="Annulée",ABS(F448-210)&lt;0.0001,C449="C-103",D449="Martin",E449="Payée",ABS(F449-750)&lt;0.0001,C450="C-101",D450="Martin",E450="Payée",ABS(F450-480)&lt;0.0001,C451="C-106",D451="Martin",E451="En attente",ABS(F451-430)&lt;0.0001),"✓ Correct","À revoir"),"À revoir"))</f>
        <v>À faire</v>
      </c>
    </row>
    <row r="455" spans="1:9">
      <c r="A455" s="192"/>
      <c r="B455" s="192"/>
      <c r="C455" s="192"/>
      <c r="D455" s="192"/>
      <c r="E455" s="192"/>
      <c r="F455" s="192"/>
      <c r="G455" s="192"/>
      <c r="H455" s="192"/>
      <c r="I455" s="192"/>
    </row>
    <row r="456" spans="1:9">
      <c r="A456" s="192"/>
      <c r="B456" s="192"/>
      <c r="C456" s="192"/>
      <c r="D456" s="192"/>
      <c r="E456" s="192"/>
      <c r="F456" s="192"/>
      <c r="G456" s="192"/>
      <c r="H456" s="192"/>
      <c r="I456" s="192"/>
    </row>
    <row r="457" spans="1:9" ht="24" customHeight="1">
      <c r="A457" s="192"/>
      <c r="B457" s="574" t="s">
        <v>1542</v>
      </c>
      <c r="C457" s="574"/>
      <c r="D457" s="574"/>
      <c r="E457" s="574"/>
      <c r="F457" s="574"/>
      <c r="G457" s="574"/>
      <c r="H457" s="574"/>
      <c r="I457" s="574"/>
    </row>
    <row r="458" spans="1:9">
      <c r="A458" s="192"/>
      <c r="B458" s="192"/>
      <c r="C458" s="192"/>
      <c r="D458" s="192"/>
      <c r="E458" s="192"/>
      <c r="F458" s="192"/>
      <c r="G458" s="192"/>
      <c r="H458" s="192"/>
      <c r="I458" s="192"/>
    </row>
    <row r="459" spans="1:9" ht="24.95" customHeight="1">
      <c r="A459" s="192"/>
      <c r="B459" s="571" t="s">
        <v>1543</v>
      </c>
      <c r="C459" s="571"/>
      <c r="D459" s="571"/>
      <c r="E459" s="571"/>
      <c r="F459" s="571"/>
      <c r="G459" s="571"/>
      <c r="H459" s="193" t="s">
        <v>930</v>
      </c>
      <c r="I459" s="194" t="s">
        <v>1386</v>
      </c>
    </row>
    <row r="460" spans="1:9">
      <c r="A460" s="192"/>
      <c r="B460" s="192"/>
      <c r="C460" s="192"/>
      <c r="D460" s="192"/>
      <c r="E460" s="192"/>
      <c r="F460" s="192"/>
      <c r="G460" s="192"/>
      <c r="H460" s="192"/>
      <c r="I460" s="192"/>
    </row>
    <row r="461" spans="1:9" ht="42" customHeight="1">
      <c r="A461" s="192"/>
      <c r="B461" s="572" t="s">
        <v>1544</v>
      </c>
      <c r="C461" s="572"/>
      <c r="D461" s="572"/>
      <c r="E461" s="572"/>
      <c r="F461" s="572"/>
      <c r="G461" s="572"/>
      <c r="H461" s="572"/>
      <c r="I461" s="572"/>
    </row>
    <row r="462" spans="1:9">
      <c r="A462" s="192"/>
      <c r="B462" s="192"/>
      <c r="C462" s="192"/>
      <c r="D462" s="192"/>
      <c r="E462" s="192"/>
      <c r="F462" s="192"/>
      <c r="G462" s="192"/>
      <c r="H462" s="192"/>
      <c r="I462" s="192"/>
    </row>
    <row r="463" spans="1:9" ht="21.95" customHeight="1">
      <c r="A463" s="192"/>
      <c r="B463" s="197" t="s">
        <v>1272</v>
      </c>
      <c r="C463" s="197" t="s">
        <v>1087</v>
      </c>
      <c r="D463" s="197" t="s">
        <v>1097</v>
      </c>
      <c r="E463" s="197" t="s">
        <v>26</v>
      </c>
      <c r="F463" s="192"/>
      <c r="G463" s="192"/>
      <c r="H463" s="192"/>
      <c r="I463" s="192"/>
    </row>
    <row r="464" spans="1:9">
      <c r="A464" s="192"/>
      <c r="B464" s="362" t="s">
        <v>1545</v>
      </c>
      <c r="C464" s="363" t="s">
        <v>964</v>
      </c>
      <c r="D464" s="363" t="s">
        <v>1098</v>
      </c>
      <c r="E464" s="364">
        <v>480</v>
      </c>
      <c r="F464" s="192"/>
      <c r="G464" s="192"/>
      <c r="H464" s="192"/>
      <c r="I464" s="192"/>
    </row>
    <row r="465" spans="1:9">
      <c r="A465" s="192"/>
      <c r="B465" s="362" t="s">
        <v>1546</v>
      </c>
      <c r="C465" s="363" t="s">
        <v>1088</v>
      </c>
      <c r="D465" s="363" t="s">
        <v>1099</v>
      </c>
      <c r="E465" s="364">
        <v>320</v>
      </c>
      <c r="F465" s="192"/>
      <c r="G465" s="192"/>
      <c r="H465" s="192"/>
      <c r="I465" s="192"/>
    </row>
    <row r="466" spans="1:9">
      <c r="A466" s="192"/>
      <c r="B466" s="362" t="s">
        <v>1547</v>
      </c>
      <c r="C466" s="363" t="s">
        <v>964</v>
      </c>
      <c r="D466" s="363" t="s">
        <v>1098</v>
      </c>
      <c r="E466" s="364">
        <v>750</v>
      </c>
      <c r="F466" s="192"/>
      <c r="G466" s="192"/>
      <c r="H466" s="192"/>
      <c r="I466" s="192"/>
    </row>
    <row r="467" spans="1:9">
      <c r="A467" s="192"/>
      <c r="B467" s="362" t="s">
        <v>1548</v>
      </c>
      <c r="C467" s="363" t="s">
        <v>1089</v>
      </c>
      <c r="D467" s="363" t="s">
        <v>1105</v>
      </c>
      <c r="E467" s="364">
        <v>210</v>
      </c>
      <c r="F467" s="192"/>
      <c r="G467" s="192"/>
      <c r="H467" s="192"/>
      <c r="I467" s="192"/>
    </row>
    <row r="468" spans="1:9">
      <c r="A468" s="192"/>
      <c r="B468" s="362" t="s">
        <v>1549</v>
      </c>
      <c r="C468" s="363" t="s">
        <v>1088</v>
      </c>
      <c r="D468" s="363" t="s">
        <v>1098</v>
      </c>
      <c r="E468" s="364">
        <v>560</v>
      </c>
      <c r="F468" s="192"/>
      <c r="G468" s="192"/>
      <c r="H468" s="192"/>
      <c r="I468" s="192"/>
    </row>
    <row r="469" spans="1:9">
      <c r="A469" s="192"/>
      <c r="B469" s="362" t="s">
        <v>1550</v>
      </c>
      <c r="C469" s="363" t="s">
        <v>964</v>
      </c>
      <c r="D469" s="363" t="s">
        <v>1099</v>
      </c>
      <c r="E469" s="364">
        <v>430</v>
      </c>
      <c r="F469" s="192"/>
      <c r="G469" s="192"/>
      <c r="H469" s="192"/>
      <c r="I469" s="192"/>
    </row>
    <row r="470" spans="1:9">
      <c r="A470" s="192"/>
      <c r="B470" s="362" t="s">
        <v>1551</v>
      </c>
      <c r="C470" s="363" t="s">
        <v>1500</v>
      </c>
      <c r="D470" s="363" t="s">
        <v>1098</v>
      </c>
      <c r="E470" s="364">
        <v>390</v>
      </c>
      <c r="F470" s="192"/>
      <c r="G470" s="192"/>
      <c r="H470" s="192"/>
      <c r="I470" s="192"/>
    </row>
    <row r="471" spans="1:9">
      <c r="A471" s="192"/>
      <c r="B471" s="362" t="s">
        <v>1552</v>
      </c>
      <c r="C471" s="363" t="s">
        <v>1088</v>
      </c>
      <c r="D471" s="363" t="s">
        <v>1098</v>
      </c>
      <c r="E471" s="364">
        <v>620</v>
      </c>
      <c r="F471" s="192"/>
      <c r="G471" s="192"/>
      <c r="H471" s="192"/>
      <c r="I471" s="192"/>
    </row>
    <row r="472" spans="1:9">
      <c r="A472" s="192"/>
      <c r="B472" s="192"/>
      <c r="C472" s="192"/>
      <c r="D472" s="192"/>
      <c r="E472" s="192"/>
      <c r="F472" s="192"/>
      <c r="G472" s="192"/>
      <c r="H472" s="192"/>
      <c r="I472" s="192"/>
    </row>
    <row r="473" spans="1:9" ht="15">
      <c r="A473" s="192"/>
      <c r="B473" s="192"/>
      <c r="C473" s="197" t="s">
        <v>1553</v>
      </c>
      <c r="D473" s="192"/>
      <c r="E473" s="192"/>
      <c r="F473" s="192"/>
      <c r="G473" s="192"/>
      <c r="H473" s="192"/>
      <c r="I473" s="192"/>
    </row>
    <row r="474" spans="1:9" ht="15">
      <c r="A474" s="192"/>
      <c r="B474" s="198" t="s">
        <v>927</v>
      </c>
      <c r="C474" s="399"/>
      <c r="D474" s="356"/>
      <c r="E474" s="192"/>
      <c r="F474" s="192"/>
      <c r="G474" s="192"/>
      <c r="H474" s="192"/>
      <c r="I474" s="192"/>
    </row>
    <row r="475" spans="1:9">
      <c r="A475" s="192"/>
      <c r="B475" s="356"/>
      <c r="C475" s="394"/>
      <c r="D475" s="192"/>
      <c r="E475" s="192"/>
      <c r="F475" s="192"/>
      <c r="G475" s="192"/>
      <c r="H475" s="192"/>
      <c r="I475" s="192"/>
    </row>
    <row r="476" spans="1:9">
      <c r="A476" s="192"/>
      <c r="B476" s="356"/>
      <c r="C476" s="384"/>
      <c r="D476" s="192"/>
      <c r="E476" s="192"/>
      <c r="F476" s="192"/>
      <c r="G476" s="192"/>
      <c r="H476" s="192"/>
      <c r="I476" s="192"/>
    </row>
    <row r="477" spans="1:9">
      <c r="A477" s="192"/>
      <c r="B477" s="356"/>
      <c r="C477" s="384"/>
      <c r="D477" s="192"/>
      <c r="E477" s="192"/>
      <c r="F477" s="192"/>
      <c r="G477" s="192"/>
      <c r="H477" s="192"/>
      <c r="I477" s="192"/>
    </row>
    <row r="478" spans="1:9">
      <c r="A478" s="192"/>
      <c r="B478" s="356"/>
      <c r="C478" s="378"/>
      <c r="D478" s="192"/>
      <c r="E478" s="192"/>
      <c r="F478" s="192"/>
      <c r="G478" s="192"/>
      <c r="H478" s="192"/>
      <c r="I478" s="192"/>
    </row>
    <row r="479" spans="1:9">
      <c r="A479" s="192"/>
      <c r="B479" s="192"/>
      <c r="C479" s="192"/>
      <c r="D479" s="192"/>
      <c r="E479" s="192"/>
      <c r="F479" s="192"/>
      <c r="G479" s="192"/>
      <c r="H479" s="192"/>
      <c r="I479" s="192"/>
    </row>
    <row r="480" spans="1:9" ht="15">
      <c r="A480" s="192"/>
      <c r="B480" s="192"/>
      <c r="C480" s="192"/>
      <c r="D480" s="192"/>
      <c r="E480" s="192"/>
      <c r="F480" s="192"/>
      <c r="G480" s="192"/>
      <c r="H480" s="195" t="s">
        <v>909</v>
      </c>
      <c r="I480" s="196" t="str">
        <f>IF(C474="","À faire",IFERROR(IF(AND(C474="Martin",C475="Dupont",C476="Leroy",C477="Bernard"),"✓ Correct","À revoir"),"À revoir"))</f>
        <v>À faire</v>
      </c>
    </row>
    <row r="481" spans="1:9">
      <c r="A481" s="192"/>
      <c r="B481" s="192"/>
      <c r="C481" s="192"/>
      <c r="D481" s="192"/>
      <c r="E481" s="192"/>
      <c r="F481" s="192"/>
      <c r="G481" s="192"/>
      <c r="H481" s="192"/>
      <c r="I481" s="192"/>
    </row>
    <row r="482" spans="1:9">
      <c r="A482" s="192"/>
      <c r="B482" s="192"/>
      <c r="C482" s="192"/>
      <c r="D482" s="192"/>
      <c r="E482" s="192"/>
      <c r="F482" s="192"/>
      <c r="G482" s="192"/>
      <c r="H482" s="192"/>
      <c r="I482" s="192"/>
    </row>
    <row r="483" spans="1:9" ht="24" customHeight="1">
      <c r="A483" s="192"/>
      <c r="B483" s="574" t="s">
        <v>1554</v>
      </c>
      <c r="C483" s="574"/>
      <c r="D483" s="574"/>
      <c r="E483" s="574"/>
      <c r="F483" s="574"/>
      <c r="G483" s="574"/>
      <c r="H483" s="574"/>
      <c r="I483" s="574"/>
    </row>
    <row r="484" spans="1:9">
      <c r="A484" s="192"/>
      <c r="B484" s="192"/>
      <c r="C484" s="192"/>
      <c r="D484" s="192"/>
      <c r="E484" s="192"/>
      <c r="F484" s="192"/>
      <c r="G484" s="192"/>
      <c r="H484" s="192"/>
      <c r="I484" s="192"/>
    </row>
    <row r="485" spans="1:9" ht="24.95" customHeight="1">
      <c r="A485" s="192"/>
      <c r="B485" s="571" t="s">
        <v>1555</v>
      </c>
      <c r="C485" s="571"/>
      <c r="D485" s="571"/>
      <c r="E485" s="571"/>
      <c r="F485" s="571"/>
      <c r="G485" s="571"/>
      <c r="H485" s="193" t="s">
        <v>930</v>
      </c>
      <c r="I485" s="194" t="s">
        <v>1386</v>
      </c>
    </row>
    <row r="486" spans="1:9">
      <c r="A486" s="192"/>
      <c r="B486" s="192"/>
      <c r="C486" s="192"/>
      <c r="D486" s="192"/>
      <c r="E486" s="192"/>
      <c r="F486" s="192"/>
      <c r="G486" s="192"/>
      <c r="H486" s="192"/>
      <c r="I486" s="192"/>
    </row>
    <row r="487" spans="1:9" ht="54" customHeight="1">
      <c r="A487" s="192"/>
      <c r="B487" s="572" t="s">
        <v>1556</v>
      </c>
      <c r="C487" s="572"/>
      <c r="D487" s="572"/>
      <c r="E487" s="572"/>
      <c r="F487" s="572"/>
      <c r="G487" s="572"/>
      <c r="H487" s="572"/>
      <c r="I487" s="572"/>
    </row>
    <row r="488" spans="1:9" ht="15">
      <c r="A488" s="192"/>
      <c r="B488" s="192"/>
      <c r="C488" s="192"/>
      <c r="D488" s="192"/>
      <c r="E488" s="192"/>
      <c r="F488" s="243" t="s">
        <v>1557</v>
      </c>
      <c r="G488" s="192"/>
      <c r="H488" s="192"/>
      <c r="I488" s="192"/>
    </row>
    <row r="489" spans="1:9" ht="21.95" customHeight="1">
      <c r="A489" s="192"/>
      <c r="B489" s="197" t="s">
        <v>1272</v>
      </c>
      <c r="C489" s="197" t="s">
        <v>1087</v>
      </c>
      <c r="D489" s="245"/>
      <c r="E489" s="245"/>
      <c r="F489" s="384" t="str" cm="1">
        <f t="array" ref="F489:F492">_xlfn._xlws.SORT(_xlfn.UNIQUE(C490:C497))</f>
        <v>Bernard</v>
      </c>
      <c r="G489" s="192"/>
      <c r="H489" s="192"/>
      <c r="I489" s="192"/>
    </row>
    <row r="490" spans="1:9">
      <c r="A490" s="192"/>
      <c r="B490" s="362" t="s">
        <v>1493</v>
      </c>
      <c r="C490" s="365" t="s">
        <v>964</v>
      </c>
      <c r="D490" s="244"/>
      <c r="E490" s="244"/>
      <c r="F490" s="384" t="str">
        <v>Dupont</v>
      </c>
      <c r="G490" s="192"/>
      <c r="H490" s="192"/>
      <c r="I490" s="192"/>
    </row>
    <row r="491" spans="1:9">
      <c r="A491" s="192"/>
      <c r="B491" s="362" t="s">
        <v>1494</v>
      </c>
      <c r="C491" s="365" t="s">
        <v>1088</v>
      </c>
      <c r="D491" s="244"/>
      <c r="E491" s="244"/>
      <c r="F491" s="384" t="str">
        <v>Leroy</v>
      </c>
      <c r="G491" s="192"/>
      <c r="H491" s="192"/>
      <c r="I491" s="192"/>
    </row>
    <row r="492" spans="1:9">
      <c r="A492" s="192"/>
      <c r="B492" s="362" t="s">
        <v>1495</v>
      </c>
      <c r="C492" s="365" t="s">
        <v>964</v>
      </c>
      <c r="D492" s="244"/>
      <c r="E492" s="244"/>
      <c r="F492" s="384" t="str">
        <v>Martin</v>
      </c>
      <c r="G492" s="192"/>
      <c r="H492" s="192"/>
      <c r="I492" s="192"/>
    </row>
    <row r="493" spans="1:9">
      <c r="A493" s="192"/>
      <c r="B493" s="362" t="s">
        <v>1496</v>
      </c>
      <c r="C493" s="365" t="s">
        <v>1089</v>
      </c>
      <c r="D493" s="244"/>
      <c r="E493" s="244"/>
      <c r="F493" s="378"/>
      <c r="G493" s="192"/>
      <c r="H493" s="192"/>
      <c r="I493" s="192"/>
    </row>
    <row r="494" spans="1:9">
      <c r="A494" s="192"/>
      <c r="B494" s="362" t="s">
        <v>1497</v>
      </c>
      <c r="C494" s="365" t="s">
        <v>1088</v>
      </c>
      <c r="D494" s="244"/>
      <c r="E494" s="244"/>
      <c r="F494" s="244"/>
      <c r="G494" s="192"/>
      <c r="H494" s="192"/>
      <c r="I494" s="192"/>
    </row>
    <row r="495" spans="1:9">
      <c r="A495" s="192"/>
      <c r="B495" s="362" t="s">
        <v>1498</v>
      </c>
      <c r="C495" s="365" t="s">
        <v>964</v>
      </c>
      <c r="D495" s="244"/>
      <c r="E495" s="244"/>
      <c r="F495" s="244"/>
      <c r="G495" s="192"/>
      <c r="H495" s="192"/>
      <c r="I495" s="192"/>
    </row>
    <row r="496" spans="1:9">
      <c r="A496" s="192"/>
      <c r="B496" s="362" t="s">
        <v>1499</v>
      </c>
      <c r="C496" s="365" t="s">
        <v>1500</v>
      </c>
      <c r="D496" s="244"/>
      <c r="E496" s="244"/>
      <c r="F496" s="244"/>
      <c r="G496" s="192"/>
      <c r="H496" s="192"/>
      <c r="I496" s="192"/>
    </row>
    <row r="497" spans="1:9">
      <c r="A497" s="192"/>
      <c r="B497" s="362" t="s">
        <v>1501</v>
      </c>
      <c r="C497" s="365" t="s">
        <v>1088</v>
      </c>
      <c r="D497" s="244"/>
      <c r="E497" s="244"/>
      <c r="F497" s="244"/>
      <c r="G497" s="192"/>
      <c r="H497" s="192"/>
      <c r="I497" s="192"/>
    </row>
    <row r="498" spans="1:9">
      <c r="A498" s="192"/>
      <c r="B498" s="192"/>
      <c r="C498" s="192"/>
      <c r="D498" s="192"/>
      <c r="E498" s="192"/>
      <c r="F498" s="192"/>
      <c r="G498" s="192"/>
      <c r="H498" s="192"/>
      <c r="I498" s="192"/>
    </row>
    <row r="499" spans="1:9" ht="15">
      <c r="A499" s="192"/>
      <c r="B499" s="198" t="s">
        <v>1558</v>
      </c>
      <c r="C499" s="399"/>
      <c r="D499" s="356"/>
      <c r="E499" s="192"/>
      <c r="F499" s="192"/>
      <c r="G499" s="192"/>
      <c r="H499" s="192"/>
      <c r="I499" s="192"/>
    </row>
    <row r="500" spans="1:9">
      <c r="A500" s="192"/>
      <c r="B500" s="192"/>
      <c r="C500" s="356"/>
      <c r="D500" s="192"/>
      <c r="E500" s="192"/>
      <c r="F500" s="192"/>
      <c r="G500" s="192"/>
      <c r="H500" s="192"/>
      <c r="I500" s="192"/>
    </row>
    <row r="501" spans="1:9" ht="15">
      <c r="A501" s="192"/>
      <c r="B501" s="192"/>
      <c r="C501" s="192"/>
      <c r="D501" s="192"/>
      <c r="E501" s="192"/>
      <c r="F501" s="192"/>
      <c r="G501" s="192"/>
      <c r="H501" s="195" t="s">
        <v>909</v>
      </c>
      <c r="I501" s="196" t="str">
        <f>IF(C499="","À faire",IFERROR(IF(C499=4,"✓ Correct","À revoir"),"À revoir"))</f>
        <v>À faire</v>
      </c>
    </row>
    <row r="502" spans="1:9">
      <c r="A502" s="192"/>
      <c r="B502" s="192"/>
      <c r="C502" s="192"/>
      <c r="D502" s="192"/>
      <c r="E502" s="192"/>
      <c r="F502" s="192"/>
      <c r="G502" s="192"/>
      <c r="H502" s="192"/>
      <c r="I502" s="192"/>
    </row>
    <row r="503" spans="1:9">
      <c r="A503" s="192"/>
      <c r="B503" s="192"/>
      <c r="C503" s="192"/>
      <c r="D503" s="192"/>
      <c r="E503" s="192"/>
      <c r="F503" s="192"/>
      <c r="G503" s="192"/>
      <c r="H503" s="192"/>
      <c r="I503" s="192"/>
    </row>
    <row r="504" spans="1:9" ht="24.95" customHeight="1">
      <c r="A504" s="192"/>
      <c r="B504" s="571" t="s">
        <v>1559</v>
      </c>
      <c r="C504" s="571"/>
      <c r="D504" s="571"/>
      <c r="E504" s="571"/>
      <c r="F504" s="571"/>
      <c r="G504" s="571"/>
      <c r="H504" s="193" t="s">
        <v>930</v>
      </c>
      <c r="I504" s="194" t="s">
        <v>1386</v>
      </c>
    </row>
    <row r="505" spans="1:9">
      <c r="A505" s="192"/>
      <c r="B505" s="192"/>
      <c r="C505" s="192"/>
      <c r="D505" s="192"/>
      <c r="E505" s="192"/>
      <c r="F505" s="192"/>
      <c r="G505" s="192"/>
      <c r="H505" s="192"/>
      <c r="I505" s="192"/>
    </row>
    <row r="506" spans="1:9" ht="42" customHeight="1">
      <c r="A506" s="192"/>
      <c r="B506" s="572" t="s">
        <v>1560</v>
      </c>
      <c r="C506" s="572"/>
      <c r="D506" s="572"/>
      <c r="E506" s="572"/>
      <c r="F506" s="572"/>
      <c r="G506" s="572"/>
      <c r="H506" s="572"/>
      <c r="I506" s="572"/>
    </row>
    <row r="507" spans="1:9" ht="15">
      <c r="A507" s="192"/>
      <c r="B507" s="192"/>
      <c r="C507" s="192"/>
      <c r="D507" s="192"/>
      <c r="E507" s="192"/>
      <c r="F507" s="243" t="s">
        <v>1561</v>
      </c>
      <c r="G507" s="192"/>
      <c r="H507" s="192"/>
      <c r="I507" s="192"/>
    </row>
    <row r="508" spans="1:9" ht="21.95" customHeight="1">
      <c r="A508" s="192"/>
      <c r="B508" s="197" t="s">
        <v>1272</v>
      </c>
      <c r="C508" s="197" t="s">
        <v>1097</v>
      </c>
      <c r="D508" s="197" t="s">
        <v>26</v>
      </c>
      <c r="E508" s="245"/>
      <c r="F508" s="388" cm="1">
        <f t="array" ref="F508:F512">_xlfn._xlws.FILTER(D509:D516,C509:C516="Payée")</f>
        <v>480</v>
      </c>
      <c r="G508" s="192"/>
      <c r="H508" s="192"/>
      <c r="I508" s="192"/>
    </row>
    <row r="509" spans="1:9">
      <c r="A509" s="192"/>
      <c r="B509" s="362" t="s">
        <v>1493</v>
      </c>
      <c r="C509" s="363" t="s">
        <v>1098</v>
      </c>
      <c r="D509" s="364">
        <v>480</v>
      </c>
      <c r="E509" s="244"/>
      <c r="F509" s="388">
        <v>750</v>
      </c>
      <c r="G509" s="192"/>
      <c r="H509" s="192"/>
      <c r="I509" s="192"/>
    </row>
    <row r="510" spans="1:9">
      <c r="A510" s="192"/>
      <c r="B510" s="362" t="s">
        <v>1494</v>
      </c>
      <c r="C510" s="363" t="s">
        <v>1099</v>
      </c>
      <c r="D510" s="364">
        <v>320</v>
      </c>
      <c r="E510" s="244"/>
      <c r="F510" s="388">
        <v>560</v>
      </c>
      <c r="G510" s="192"/>
      <c r="H510" s="192"/>
      <c r="I510" s="192"/>
    </row>
    <row r="511" spans="1:9">
      <c r="A511" s="192"/>
      <c r="B511" s="362" t="s">
        <v>1495</v>
      </c>
      <c r="C511" s="363" t="s">
        <v>1098</v>
      </c>
      <c r="D511" s="364">
        <v>750</v>
      </c>
      <c r="E511" s="244"/>
      <c r="F511" s="388">
        <v>390</v>
      </c>
      <c r="G511" s="192"/>
      <c r="H511" s="192"/>
      <c r="I511" s="192"/>
    </row>
    <row r="512" spans="1:9">
      <c r="A512" s="192"/>
      <c r="B512" s="362" t="s">
        <v>1496</v>
      </c>
      <c r="C512" s="363" t="s">
        <v>1105</v>
      </c>
      <c r="D512" s="364">
        <v>210</v>
      </c>
      <c r="E512" s="244"/>
      <c r="F512" s="389">
        <v>620</v>
      </c>
      <c r="G512" s="192"/>
      <c r="H512" s="192"/>
      <c r="I512" s="192"/>
    </row>
    <row r="513" spans="1:9">
      <c r="A513" s="192"/>
      <c r="B513" s="362" t="s">
        <v>1497</v>
      </c>
      <c r="C513" s="363" t="s">
        <v>1098</v>
      </c>
      <c r="D513" s="364">
        <v>560</v>
      </c>
      <c r="E513" s="244"/>
      <c r="F513" s="244"/>
      <c r="G513" s="192"/>
      <c r="H513" s="192"/>
      <c r="I513" s="192"/>
    </row>
    <row r="514" spans="1:9">
      <c r="A514" s="192"/>
      <c r="B514" s="362" t="s">
        <v>1498</v>
      </c>
      <c r="C514" s="363" t="s">
        <v>1099</v>
      </c>
      <c r="D514" s="364">
        <v>430</v>
      </c>
      <c r="E514" s="244"/>
      <c r="F514" s="244"/>
      <c r="G514" s="192"/>
      <c r="H514" s="192"/>
      <c r="I514" s="192"/>
    </row>
    <row r="515" spans="1:9">
      <c r="A515" s="192"/>
      <c r="B515" s="362" t="s">
        <v>1499</v>
      </c>
      <c r="C515" s="363" t="s">
        <v>1098</v>
      </c>
      <c r="D515" s="364">
        <v>390</v>
      </c>
      <c r="E515" s="244"/>
      <c r="F515" s="244"/>
      <c r="G515" s="192"/>
      <c r="H515" s="192"/>
      <c r="I515" s="192"/>
    </row>
    <row r="516" spans="1:9">
      <c r="A516" s="192"/>
      <c r="B516" s="362" t="s">
        <v>1501</v>
      </c>
      <c r="C516" s="363" t="s">
        <v>1098</v>
      </c>
      <c r="D516" s="364">
        <v>620</v>
      </c>
      <c r="E516" s="244"/>
      <c r="F516" s="244"/>
      <c r="G516" s="192"/>
      <c r="H516" s="192"/>
      <c r="I516" s="192"/>
    </row>
    <row r="517" spans="1:9">
      <c r="A517" s="192"/>
      <c r="B517" s="192"/>
      <c r="C517" s="192"/>
      <c r="D517" s="192"/>
      <c r="E517" s="192"/>
      <c r="F517" s="192"/>
      <c r="G517" s="192"/>
      <c r="H517" s="192"/>
      <c r="I517" s="192"/>
    </row>
    <row r="518" spans="1:9" ht="15">
      <c r="A518" s="192"/>
      <c r="B518" s="198" t="s">
        <v>1562</v>
      </c>
      <c r="C518" s="400"/>
      <c r="D518" s="356"/>
      <c r="E518" s="192"/>
      <c r="F518" s="192"/>
      <c r="G518" s="192"/>
      <c r="H518" s="192"/>
      <c r="I518" s="192"/>
    </row>
    <row r="519" spans="1:9">
      <c r="A519" s="192"/>
      <c r="B519" s="192"/>
      <c r="C519" s="356"/>
      <c r="D519" s="192"/>
      <c r="E519" s="192"/>
      <c r="F519" s="192"/>
      <c r="G519" s="192"/>
      <c r="H519" s="192"/>
      <c r="I519" s="192"/>
    </row>
    <row r="520" spans="1:9" ht="15">
      <c r="A520" s="192"/>
      <c r="B520" s="192"/>
      <c r="C520" s="192"/>
      <c r="D520" s="192"/>
      <c r="E520" s="192"/>
      <c r="F520" s="192"/>
      <c r="G520" s="192"/>
      <c r="H520" s="195" t="s">
        <v>909</v>
      </c>
      <c r="I520" s="196" t="str">
        <f>IF(C518="","À faire",IFERROR(IF(ABS(C518-2800)&lt;0.0001,"✓ Correct","À revoir"),"À revoir"))</f>
        <v>À faire</v>
      </c>
    </row>
    <row r="521" spans="1:9">
      <c r="A521" s="192"/>
      <c r="B521" s="192"/>
      <c r="C521" s="192"/>
      <c r="D521" s="192"/>
      <c r="E521" s="192"/>
      <c r="F521" s="192"/>
      <c r="G521" s="192"/>
      <c r="H521" s="192"/>
      <c r="I521" s="192"/>
    </row>
    <row r="522" spans="1:9">
      <c r="A522" s="192"/>
      <c r="B522" s="192"/>
      <c r="C522" s="192"/>
      <c r="D522" s="192"/>
      <c r="E522" s="192"/>
      <c r="F522" s="192"/>
      <c r="G522" s="192"/>
      <c r="H522" s="192"/>
      <c r="I522" s="192"/>
    </row>
    <row r="523" spans="1:9" ht="24.95" customHeight="1">
      <c r="A523" s="192"/>
      <c r="B523" s="571" t="s">
        <v>1563</v>
      </c>
      <c r="C523" s="571"/>
      <c r="D523" s="571"/>
      <c r="E523" s="571"/>
      <c r="F523" s="571"/>
      <c r="G523" s="571"/>
      <c r="H523" s="193" t="s">
        <v>930</v>
      </c>
      <c r="I523" s="194" t="s">
        <v>1386</v>
      </c>
    </row>
    <row r="524" spans="1:9">
      <c r="A524" s="192"/>
      <c r="B524" s="192"/>
      <c r="C524" s="192"/>
      <c r="D524" s="192"/>
      <c r="E524" s="192"/>
      <c r="F524" s="192"/>
      <c r="G524" s="192"/>
      <c r="H524" s="192"/>
      <c r="I524" s="192"/>
    </row>
    <row r="525" spans="1:9" ht="54" customHeight="1">
      <c r="A525" s="192"/>
      <c r="B525" s="572" t="s">
        <v>1564</v>
      </c>
      <c r="C525" s="572"/>
      <c r="D525" s="572"/>
      <c r="E525" s="572"/>
      <c r="F525" s="572"/>
      <c r="G525" s="572"/>
      <c r="H525" s="572"/>
      <c r="I525" s="572"/>
    </row>
    <row r="526" spans="1:9" ht="15">
      <c r="A526" s="192"/>
      <c r="B526" s="192"/>
      <c r="C526" s="192"/>
      <c r="D526" s="192"/>
      <c r="E526" s="192"/>
      <c r="F526" s="243" t="s">
        <v>1565</v>
      </c>
      <c r="G526" s="192"/>
      <c r="H526" s="192"/>
      <c r="I526" s="192"/>
    </row>
    <row r="527" spans="1:9" ht="21.95" customHeight="1">
      <c r="A527" s="192"/>
      <c r="B527" s="197" t="s">
        <v>1272</v>
      </c>
      <c r="C527" s="197" t="s">
        <v>1087</v>
      </c>
      <c r="D527" s="245"/>
      <c r="E527" s="245"/>
      <c r="F527" s="384" t="str" cm="1">
        <f t="array" ref="F527:F530">_xlfn.UNIQUE(C528:C535)</f>
        <v>Martin</v>
      </c>
      <c r="G527" s="192"/>
      <c r="H527" s="192"/>
      <c r="I527" s="192"/>
    </row>
    <row r="528" spans="1:9">
      <c r="A528" s="192"/>
      <c r="B528" s="362" t="s">
        <v>1493</v>
      </c>
      <c r="C528" s="365" t="s">
        <v>964</v>
      </c>
      <c r="D528" s="244"/>
      <c r="E528" s="244"/>
      <c r="F528" s="384" t="str">
        <v>Dupont</v>
      </c>
      <c r="G528" s="192"/>
      <c r="H528" s="192"/>
      <c r="I528" s="192"/>
    </row>
    <row r="529" spans="1:9">
      <c r="A529" s="192"/>
      <c r="B529" s="362" t="s">
        <v>1494</v>
      </c>
      <c r="C529" s="365" t="s">
        <v>1088</v>
      </c>
      <c r="D529" s="244"/>
      <c r="E529" s="244"/>
      <c r="F529" s="384" t="str">
        <v>Leroy</v>
      </c>
      <c r="G529" s="192"/>
      <c r="H529" s="192"/>
      <c r="I529" s="192"/>
    </row>
    <row r="530" spans="1:9">
      <c r="A530" s="192"/>
      <c r="B530" s="362" t="s">
        <v>1495</v>
      </c>
      <c r="C530" s="365" t="s">
        <v>964</v>
      </c>
      <c r="D530" s="244"/>
      <c r="E530" s="244"/>
      <c r="F530" s="384" t="str">
        <v>Bernard</v>
      </c>
      <c r="G530" s="192"/>
      <c r="H530" s="192"/>
      <c r="I530" s="192"/>
    </row>
    <row r="531" spans="1:9">
      <c r="A531" s="192"/>
      <c r="B531" s="362" t="s">
        <v>1496</v>
      </c>
      <c r="C531" s="365" t="s">
        <v>1089</v>
      </c>
      <c r="D531" s="244"/>
      <c r="E531" s="244"/>
      <c r="F531" s="378"/>
      <c r="G531" s="192"/>
      <c r="H531" s="192"/>
      <c r="I531" s="192"/>
    </row>
    <row r="532" spans="1:9">
      <c r="A532" s="192"/>
      <c r="B532" s="362" t="s">
        <v>1497</v>
      </c>
      <c r="C532" s="365" t="s">
        <v>1088</v>
      </c>
      <c r="D532" s="244"/>
      <c r="E532" s="244"/>
      <c r="F532" s="244"/>
      <c r="G532" s="192"/>
      <c r="H532" s="192"/>
      <c r="I532" s="192"/>
    </row>
    <row r="533" spans="1:9">
      <c r="A533" s="192"/>
      <c r="B533" s="362" t="s">
        <v>1498</v>
      </c>
      <c r="C533" s="365" t="s">
        <v>964</v>
      </c>
      <c r="D533" s="244"/>
      <c r="E533" s="244"/>
      <c r="F533" s="244"/>
      <c r="G533" s="192"/>
      <c r="H533" s="192"/>
      <c r="I533" s="192"/>
    </row>
    <row r="534" spans="1:9">
      <c r="A534" s="192"/>
      <c r="B534" s="362" t="s">
        <v>1499</v>
      </c>
      <c r="C534" s="365" t="s">
        <v>1500</v>
      </c>
      <c r="D534" s="244"/>
      <c r="E534" s="244"/>
      <c r="F534" s="244"/>
      <c r="G534" s="192"/>
      <c r="H534" s="192"/>
      <c r="I534" s="192"/>
    </row>
    <row r="535" spans="1:9">
      <c r="A535" s="192"/>
      <c r="B535" s="362" t="s">
        <v>1501</v>
      </c>
      <c r="C535" s="365" t="s">
        <v>1088</v>
      </c>
      <c r="D535" s="244"/>
      <c r="E535" s="244"/>
      <c r="F535" s="244"/>
      <c r="G535" s="192"/>
      <c r="H535" s="192"/>
      <c r="I535" s="192"/>
    </row>
    <row r="536" spans="1:9">
      <c r="A536" s="192"/>
      <c r="B536" s="192"/>
      <c r="C536" s="192"/>
      <c r="D536" s="192"/>
      <c r="E536" s="192"/>
      <c r="F536" s="192"/>
      <c r="G536" s="192"/>
      <c r="H536" s="192"/>
      <c r="I536" s="192"/>
    </row>
    <row r="537" spans="1:9" ht="15">
      <c r="A537" s="192"/>
      <c r="B537" s="192"/>
      <c r="C537" s="197" t="s">
        <v>1566</v>
      </c>
      <c r="D537" s="192"/>
      <c r="E537" s="192"/>
      <c r="F537" s="192"/>
      <c r="G537" s="192"/>
      <c r="H537" s="192"/>
      <c r="I537" s="192"/>
    </row>
    <row r="538" spans="1:9" ht="15">
      <c r="A538" s="192"/>
      <c r="B538" s="198" t="s">
        <v>927</v>
      </c>
      <c r="C538" s="399"/>
      <c r="D538" s="356"/>
      <c r="E538" s="192"/>
      <c r="F538" s="192"/>
      <c r="G538" s="192"/>
      <c r="H538" s="192"/>
      <c r="I538" s="192"/>
    </row>
    <row r="539" spans="1:9">
      <c r="A539" s="192"/>
      <c r="B539" s="356"/>
      <c r="C539" s="394"/>
      <c r="D539" s="192"/>
      <c r="E539" s="192"/>
      <c r="F539" s="192"/>
      <c r="G539" s="192"/>
      <c r="H539" s="192"/>
      <c r="I539" s="192"/>
    </row>
    <row r="540" spans="1:9">
      <c r="A540" s="192"/>
      <c r="B540" s="356"/>
      <c r="C540" s="384"/>
      <c r="D540" s="192"/>
      <c r="E540" s="192"/>
      <c r="F540" s="192"/>
      <c r="G540" s="192"/>
      <c r="H540" s="192"/>
      <c r="I540" s="192"/>
    </row>
    <row r="541" spans="1:9">
      <c r="A541" s="192"/>
      <c r="B541" s="356"/>
      <c r="C541" s="384"/>
      <c r="D541" s="192"/>
      <c r="E541" s="192"/>
      <c r="F541" s="192"/>
      <c r="G541" s="192"/>
      <c r="H541" s="192"/>
      <c r="I541" s="192"/>
    </row>
    <row r="542" spans="1:9">
      <c r="A542" s="192"/>
      <c r="B542" s="356"/>
      <c r="C542" s="378"/>
      <c r="D542" s="192"/>
      <c r="E542" s="192"/>
      <c r="F542" s="192"/>
      <c r="G542" s="192"/>
      <c r="H542" s="192"/>
      <c r="I542" s="192"/>
    </row>
    <row r="543" spans="1:9">
      <c r="A543" s="192"/>
      <c r="B543" s="192"/>
      <c r="C543" s="192"/>
      <c r="D543" s="192"/>
      <c r="E543" s="192"/>
      <c r="F543" s="192"/>
      <c r="G543" s="192"/>
      <c r="H543" s="192"/>
      <c r="I543" s="192"/>
    </row>
    <row r="544" spans="1:9" ht="15">
      <c r="A544" s="192"/>
      <c r="B544" s="192"/>
      <c r="C544" s="192"/>
      <c r="D544" s="192"/>
      <c r="E544" s="192"/>
      <c r="F544" s="192"/>
      <c r="G544" s="192"/>
      <c r="H544" s="195" t="s">
        <v>909</v>
      </c>
      <c r="I544" s="196" t="str">
        <f>IF(C538="","À faire",IFERROR(IF(AND(C538="Bernard",C539="Dupont",C540="Leroy",C541="Martin"),"✓ Correct","À revoir"),"À revoir"))</f>
        <v>À faire</v>
      </c>
    </row>
    <row r="545" spans="1:9">
      <c r="A545" s="192"/>
      <c r="B545" s="192"/>
      <c r="C545" s="192"/>
      <c r="D545" s="192"/>
      <c r="E545" s="192"/>
      <c r="F545" s="192"/>
      <c r="G545" s="192"/>
      <c r="H545" s="192"/>
      <c r="I545" s="192"/>
    </row>
    <row r="546" spans="1:9">
      <c r="A546" s="192"/>
      <c r="B546" s="192"/>
      <c r="C546" s="192"/>
      <c r="D546" s="192"/>
      <c r="E546" s="192"/>
      <c r="F546" s="192"/>
      <c r="G546" s="192"/>
      <c r="H546" s="192"/>
      <c r="I546" s="192"/>
    </row>
    <row r="547" spans="1:9" ht="24" customHeight="1">
      <c r="A547" s="192"/>
      <c r="B547" s="574" t="s">
        <v>471</v>
      </c>
      <c r="C547" s="574"/>
      <c r="D547" s="574"/>
      <c r="E547" s="574"/>
      <c r="F547" s="574"/>
      <c r="G547" s="574"/>
      <c r="H547" s="574"/>
      <c r="I547" s="574"/>
    </row>
    <row r="548" spans="1:9">
      <c r="A548" s="192"/>
      <c r="B548" s="192"/>
      <c r="C548" s="192"/>
      <c r="D548" s="192"/>
      <c r="E548" s="192"/>
      <c r="F548" s="192"/>
      <c r="G548" s="192"/>
      <c r="H548" s="192"/>
      <c r="I548" s="192"/>
    </row>
    <row r="549" spans="1:9" ht="24.95" customHeight="1">
      <c r="A549" s="192"/>
      <c r="B549" s="571" t="s">
        <v>1567</v>
      </c>
      <c r="C549" s="571"/>
      <c r="D549" s="571"/>
      <c r="E549" s="571"/>
      <c r="F549" s="571"/>
      <c r="G549" s="571"/>
      <c r="H549" s="193" t="s">
        <v>930</v>
      </c>
      <c r="I549" s="194" t="s">
        <v>1386</v>
      </c>
    </row>
    <row r="550" spans="1:9">
      <c r="A550" s="192"/>
      <c r="B550" s="192"/>
      <c r="C550" s="192"/>
      <c r="D550" s="192"/>
      <c r="E550" s="192"/>
      <c r="F550" s="192"/>
      <c r="G550" s="192"/>
      <c r="H550" s="192"/>
      <c r="I550" s="192"/>
    </row>
    <row r="551" spans="1:9" ht="42" customHeight="1">
      <c r="A551" s="192"/>
      <c r="B551" s="572" t="s">
        <v>1568</v>
      </c>
      <c r="C551" s="572"/>
      <c r="D551" s="572"/>
      <c r="E551" s="572"/>
      <c r="F551" s="572"/>
      <c r="G551" s="572"/>
      <c r="H551" s="572"/>
      <c r="I551" s="572"/>
    </row>
    <row r="552" spans="1:9">
      <c r="A552" s="192"/>
      <c r="B552" s="192"/>
      <c r="C552" s="192"/>
      <c r="D552" s="192"/>
      <c r="E552" s="192"/>
      <c r="F552" s="192"/>
      <c r="G552" s="192"/>
      <c r="H552" s="192"/>
      <c r="I552" s="192"/>
    </row>
    <row r="553" spans="1:9" ht="21.95" customHeight="1">
      <c r="A553" s="192"/>
      <c r="B553" s="197" t="s">
        <v>1272</v>
      </c>
      <c r="C553" s="197" t="s">
        <v>1087</v>
      </c>
      <c r="D553" s="197" t="s">
        <v>1097</v>
      </c>
      <c r="E553" s="197" t="s">
        <v>26</v>
      </c>
      <c r="F553" s="192"/>
      <c r="G553" s="192"/>
      <c r="H553" s="192"/>
      <c r="I553" s="192"/>
    </row>
    <row r="554" spans="1:9">
      <c r="A554" s="192"/>
      <c r="B554" s="362" t="s">
        <v>1493</v>
      </c>
      <c r="C554" s="363" t="s">
        <v>964</v>
      </c>
      <c r="D554" s="363" t="s">
        <v>1098</v>
      </c>
      <c r="E554" s="364">
        <v>480</v>
      </c>
      <c r="F554" s="192"/>
      <c r="G554" s="192"/>
      <c r="H554" s="192"/>
      <c r="I554" s="192"/>
    </row>
    <row r="555" spans="1:9">
      <c r="A555" s="192"/>
      <c r="B555" s="362" t="s">
        <v>1494</v>
      </c>
      <c r="C555" s="363" t="s">
        <v>1088</v>
      </c>
      <c r="D555" s="363" t="s">
        <v>1099</v>
      </c>
      <c r="E555" s="364">
        <v>320</v>
      </c>
      <c r="F555" s="192"/>
      <c r="G555" s="192"/>
      <c r="H555" s="192"/>
      <c r="I555" s="192"/>
    </row>
    <row r="556" spans="1:9">
      <c r="A556" s="192"/>
      <c r="B556" s="362" t="s">
        <v>1495</v>
      </c>
      <c r="C556" s="363" t="s">
        <v>964</v>
      </c>
      <c r="D556" s="363" t="s">
        <v>1098</v>
      </c>
      <c r="E556" s="364">
        <v>750</v>
      </c>
      <c r="F556" s="192"/>
      <c r="G556" s="192"/>
      <c r="H556" s="192"/>
      <c r="I556" s="192"/>
    </row>
    <row r="557" spans="1:9">
      <c r="A557" s="192"/>
      <c r="B557" s="362" t="s">
        <v>1496</v>
      </c>
      <c r="C557" s="363" t="s">
        <v>1089</v>
      </c>
      <c r="D557" s="363" t="s">
        <v>1105</v>
      </c>
      <c r="E557" s="364">
        <v>210</v>
      </c>
      <c r="F557" s="192"/>
      <c r="G557" s="192"/>
      <c r="H557" s="192"/>
      <c r="I557" s="192"/>
    </row>
    <row r="558" spans="1:9">
      <c r="A558" s="192"/>
      <c r="B558" s="362" t="s">
        <v>1497</v>
      </c>
      <c r="C558" s="363" t="s">
        <v>1088</v>
      </c>
      <c r="D558" s="363" t="s">
        <v>1098</v>
      </c>
      <c r="E558" s="364">
        <v>560</v>
      </c>
      <c r="F558" s="192"/>
      <c r="G558" s="192"/>
      <c r="H558" s="192"/>
      <c r="I558" s="192"/>
    </row>
    <row r="559" spans="1:9">
      <c r="A559" s="192"/>
      <c r="B559" s="362" t="s">
        <v>1498</v>
      </c>
      <c r="C559" s="363" t="s">
        <v>964</v>
      </c>
      <c r="D559" s="363" t="s">
        <v>1099</v>
      </c>
      <c r="E559" s="364">
        <v>430</v>
      </c>
      <c r="F559" s="192"/>
      <c r="G559" s="192"/>
      <c r="H559" s="192"/>
      <c r="I559" s="192"/>
    </row>
    <row r="560" spans="1:9">
      <c r="A560" s="192"/>
      <c r="B560" s="362" t="s">
        <v>1499</v>
      </c>
      <c r="C560" s="363" t="s">
        <v>1500</v>
      </c>
      <c r="D560" s="363" t="s">
        <v>1098</v>
      </c>
      <c r="E560" s="364">
        <v>390</v>
      </c>
      <c r="F560" s="192"/>
      <c r="G560" s="192"/>
      <c r="H560" s="192"/>
      <c r="I560" s="192"/>
    </row>
    <row r="561" spans="1:9">
      <c r="A561" s="192"/>
      <c r="B561" s="362" t="s">
        <v>1501</v>
      </c>
      <c r="C561" s="363" t="s">
        <v>1088</v>
      </c>
      <c r="D561" s="363" t="s">
        <v>1098</v>
      </c>
      <c r="E561" s="364">
        <v>620</v>
      </c>
      <c r="F561" s="192"/>
      <c r="G561" s="192"/>
      <c r="H561" s="192"/>
      <c r="I561" s="192"/>
    </row>
    <row r="562" spans="1:9">
      <c r="A562" s="192"/>
      <c r="B562" s="192"/>
      <c r="C562" s="192"/>
      <c r="D562" s="192"/>
      <c r="E562" s="192"/>
      <c r="F562" s="192"/>
      <c r="G562" s="192"/>
      <c r="H562" s="192"/>
      <c r="I562" s="192"/>
    </row>
    <row r="563" spans="1:9" ht="15">
      <c r="A563" s="192"/>
      <c r="B563" s="192"/>
      <c r="C563" s="197" t="s">
        <v>1504</v>
      </c>
      <c r="D563" s="192"/>
      <c r="E563" s="192"/>
      <c r="F563" s="192"/>
      <c r="G563" s="192"/>
      <c r="H563" s="192"/>
      <c r="I563" s="192"/>
    </row>
    <row r="564" spans="1:9" ht="15">
      <c r="A564" s="192"/>
      <c r="B564" s="198" t="s">
        <v>927</v>
      </c>
      <c r="C564" s="397"/>
      <c r="D564" s="356"/>
      <c r="E564" s="192"/>
      <c r="F564" s="192"/>
      <c r="G564" s="192"/>
      <c r="H564" s="192"/>
      <c r="I564" s="192"/>
    </row>
    <row r="565" spans="1:9">
      <c r="A565" s="192"/>
      <c r="B565" s="356"/>
      <c r="C565" s="391"/>
      <c r="D565" s="192"/>
      <c r="E565" s="192"/>
      <c r="F565" s="192"/>
      <c r="G565" s="192"/>
      <c r="H565" s="192"/>
      <c r="I565" s="192"/>
    </row>
    <row r="566" spans="1:9">
      <c r="A566" s="192"/>
      <c r="B566" s="356"/>
      <c r="C566" s="378"/>
      <c r="D566" s="192"/>
      <c r="E566" s="192"/>
      <c r="F566" s="192"/>
      <c r="G566" s="192"/>
      <c r="H566" s="192"/>
      <c r="I566" s="192"/>
    </row>
    <row r="567" spans="1:9">
      <c r="A567" s="192"/>
      <c r="B567" s="356"/>
      <c r="C567" s="378"/>
      <c r="D567" s="192"/>
      <c r="E567" s="192"/>
      <c r="F567" s="192"/>
      <c r="G567" s="192"/>
      <c r="H567" s="192"/>
      <c r="I567" s="192"/>
    </row>
    <row r="568" spans="1:9">
      <c r="A568" s="192"/>
      <c r="B568" s="192"/>
      <c r="C568" s="192"/>
      <c r="D568" s="192"/>
      <c r="E568" s="192"/>
      <c r="F568" s="192"/>
      <c r="G568" s="192"/>
      <c r="H568" s="192"/>
      <c r="I568" s="192"/>
    </row>
    <row r="569" spans="1:9" ht="15">
      <c r="A569" s="192"/>
      <c r="B569" s="192"/>
      <c r="C569" s="192"/>
      <c r="D569" s="192"/>
      <c r="E569" s="192"/>
      <c r="F569" s="192"/>
      <c r="G569" s="192"/>
      <c r="H569" s="195" t="s">
        <v>909</v>
      </c>
      <c r="I569" s="196" t="str">
        <f>IF(C564="","À faire",IFERROR(IF(AND(C564="Martin",C565="Dupont",C566="Bernard"),"✓ Correct","À revoir"),"À revoir"))</f>
        <v>À faire</v>
      </c>
    </row>
    <row r="570" spans="1:9">
      <c r="A570" s="192"/>
      <c r="B570" s="192"/>
      <c r="C570" s="192"/>
      <c r="D570" s="192"/>
      <c r="E570" s="192"/>
      <c r="F570" s="192"/>
      <c r="G570" s="192"/>
      <c r="H570" s="192"/>
      <c r="I570" s="192"/>
    </row>
    <row r="571" spans="1:9">
      <c r="A571" s="192"/>
      <c r="B571" s="192"/>
      <c r="C571" s="192"/>
      <c r="D571" s="192"/>
      <c r="E571" s="192"/>
      <c r="F571" s="192"/>
      <c r="G571" s="192"/>
      <c r="H571" s="192"/>
      <c r="I571" s="192"/>
    </row>
    <row r="572" spans="1:9" ht="24.95" customHeight="1">
      <c r="A572" s="192"/>
      <c r="B572" s="571" t="s">
        <v>1569</v>
      </c>
      <c r="C572" s="571"/>
      <c r="D572" s="571"/>
      <c r="E572" s="571"/>
      <c r="F572" s="571"/>
      <c r="G572" s="571"/>
      <c r="H572" s="193" t="s">
        <v>947</v>
      </c>
      <c r="I572" s="194" t="s">
        <v>1386</v>
      </c>
    </row>
    <row r="573" spans="1:9">
      <c r="A573" s="192"/>
      <c r="B573" s="192"/>
      <c r="C573" s="192"/>
      <c r="D573" s="192"/>
      <c r="E573" s="192"/>
      <c r="F573" s="192"/>
      <c r="G573" s="192"/>
      <c r="H573" s="192"/>
      <c r="I573" s="192"/>
    </row>
    <row r="574" spans="1:9" ht="42" customHeight="1">
      <c r="A574" s="192"/>
      <c r="B574" s="572" t="s">
        <v>1570</v>
      </c>
      <c r="C574" s="572"/>
      <c r="D574" s="572"/>
      <c r="E574" s="572"/>
      <c r="F574" s="572"/>
      <c r="G574" s="572"/>
      <c r="H574" s="572"/>
      <c r="I574" s="572"/>
    </row>
    <row r="575" spans="1:9">
      <c r="A575" s="192"/>
      <c r="B575" s="192"/>
      <c r="C575" s="192"/>
      <c r="D575" s="192"/>
      <c r="E575" s="192"/>
      <c r="F575" s="192"/>
      <c r="G575" s="192"/>
      <c r="H575" s="192"/>
      <c r="I575" s="192"/>
    </row>
    <row r="576" spans="1:9" ht="21.95" customHeight="1">
      <c r="A576" s="192"/>
      <c r="B576" s="197" t="s">
        <v>1272</v>
      </c>
      <c r="C576" s="197" t="s">
        <v>1087</v>
      </c>
      <c r="D576" s="197" t="s">
        <v>1097</v>
      </c>
      <c r="E576" s="197" t="s">
        <v>26</v>
      </c>
      <c r="F576" s="192"/>
      <c r="G576" s="192"/>
      <c r="H576" s="192"/>
      <c r="I576" s="192"/>
    </row>
    <row r="577" spans="1:9">
      <c r="A577" s="192"/>
      <c r="B577" s="362" t="s">
        <v>1493</v>
      </c>
      <c r="C577" s="363" t="s">
        <v>964</v>
      </c>
      <c r="D577" s="363" t="s">
        <v>1098</v>
      </c>
      <c r="E577" s="364">
        <v>480</v>
      </c>
      <c r="F577" s="192"/>
      <c r="G577" s="192"/>
      <c r="H577" s="192"/>
      <c r="I577" s="192"/>
    </row>
    <row r="578" spans="1:9">
      <c r="A578" s="192"/>
      <c r="B578" s="362" t="s">
        <v>1494</v>
      </c>
      <c r="C578" s="363" t="s">
        <v>1088</v>
      </c>
      <c r="D578" s="363" t="s">
        <v>1099</v>
      </c>
      <c r="E578" s="364">
        <v>320</v>
      </c>
      <c r="F578" s="192"/>
      <c r="G578" s="192"/>
      <c r="H578" s="192"/>
      <c r="I578" s="192"/>
    </row>
    <row r="579" spans="1:9">
      <c r="A579" s="192"/>
      <c r="B579" s="362" t="s">
        <v>1495</v>
      </c>
      <c r="C579" s="363" t="s">
        <v>964</v>
      </c>
      <c r="D579" s="363" t="s">
        <v>1098</v>
      </c>
      <c r="E579" s="364">
        <v>750</v>
      </c>
      <c r="F579" s="192"/>
      <c r="G579" s="192"/>
      <c r="H579" s="192"/>
      <c r="I579" s="192"/>
    </row>
    <row r="580" spans="1:9">
      <c r="A580" s="192"/>
      <c r="B580" s="362" t="s">
        <v>1496</v>
      </c>
      <c r="C580" s="363" t="s">
        <v>1089</v>
      </c>
      <c r="D580" s="363" t="s">
        <v>1105</v>
      </c>
      <c r="E580" s="364">
        <v>210</v>
      </c>
      <c r="F580" s="192"/>
      <c r="G580" s="192"/>
      <c r="H580" s="192"/>
      <c r="I580" s="192"/>
    </row>
    <row r="581" spans="1:9">
      <c r="A581" s="192"/>
      <c r="B581" s="362" t="s">
        <v>1497</v>
      </c>
      <c r="C581" s="363" t="s">
        <v>1088</v>
      </c>
      <c r="D581" s="363" t="s">
        <v>1098</v>
      </c>
      <c r="E581" s="364">
        <v>560</v>
      </c>
      <c r="F581" s="192"/>
      <c r="G581" s="192"/>
      <c r="H581" s="192"/>
      <c r="I581" s="192"/>
    </row>
    <row r="582" spans="1:9">
      <c r="A582" s="192"/>
      <c r="B582" s="362" t="s">
        <v>1498</v>
      </c>
      <c r="C582" s="363" t="s">
        <v>964</v>
      </c>
      <c r="D582" s="363" t="s">
        <v>1099</v>
      </c>
      <c r="E582" s="364">
        <v>430</v>
      </c>
      <c r="F582" s="192"/>
      <c r="G582" s="192"/>
      <c r="H582" s="192"/>
      <c r="I582" s="192"/>
    </row>
    <row r="583" spans="1:9">
      <c r="A583" s="192"/>
      <c r="B583" s="362" t="s">
        <v>1499</v>
      </c>
      <c r="C583" s="363" t="s">
        <v>1500</v>
      </c>
      <c r="D583" s="363" t="s">
        <v>1098</v>
      </c>
      <c r="E583" s="364">
        <v>390</v>
      </c>
      <c r="F583" s="192"/>
      <c r="G583" s="192"/>
      <c r="H583" s="192"/>
      <c r="I583" s="192"/>
    </row>
    <row r="584" spans="1:9">
      <c r="A584" s="192"/>
      <c r="B584" s="362" t="s">
        <v>1501</v>
      </c>
      <c r="C584" s="363" t="s">
        <v>1088</v>
      </c>
      <c r="D584" s="363" t="s">
        <v>1098</v>
      </c>
      <c r="E584" s="364">
        <v>620</v>
      </c>
      <c r="F584" s="192"/>
      <c r="G584" s="192"/>
      <c r="H584" s="192"/>
      <c r="I584" s="192"/>
    </row>
    <row r="585" spans="1:9">
      <c r="A585" s="192"/>
      <c r="B585" s="192"/>
      <c r="C585" s="192"/>
      <c r="D585" s="192"/>
      <c r="E585" s="192"/>
      <c r="F585" s="192"/>
      <c r="G585" s="192"/>
      <c r="H585" s="192"/>
      <c r="I585" s="192"/>
    </row>
    <row r="586" spans="1:9" ht="15">
      <c r="A586" s="192"/>
      <c r="B586" s="192"/>
      <c r="C586" s="197" t="s">
        <v>1571</v>
      </c>
      <c r="D586" s="192"/>
      <c r="E586" s="192"/>
      <c r="F586" s="192"/>
      <c r="G586" s="192"/>
      <c r="H586" s="192"/>
      <c r="I586" s="192"/>
    </row>
    <row r="587" spans="1:9" ht="15">
      <c r="A587" s="192"/>
      <c r="B587" s="198" t="s">
        <v>927</v>
      </c>
      <c r="C587" s="397"/>
      <c r="D587" s="356"/>
      <c r="E587" s="192"/>
      <c r="F587" s="192"/>
      <c r="G587" s="192"/>
      <c r="H587" s="192"/>
      <c r="I587" s="192"/>
    </row>
    <row r="588" spans="1:9">
      <c r="A588" s="192"/>
      <c r="B588" s="356"/>
      <c r="C588" s="391"/>
      <c r="D588" s="192"/>
      <c r="E588" s="192"/>
      <c r="F588" s="192"/>
      <c r="G588" s="192"/>
      <c r="H588" s="192"/>
      <c r="I588" s="192"/>
    </row>
    <row r="589" spans="1:9">
      <c r="A589" s="192"/>
      <c r="B589" s="356"/>
      <c r="C589" s="378"/>
      <c r="D589" s="192"/>
      <c r="E589" s="192"/>
      <c r="F589" s="192"/>
      <c r="G589" s="192"/>
      <c r="H589" s="192"/>
      <c r="I589" s="192"/>
    </row>
    <row r="590" spans="1:9">
      <c r="A590" s="192"/>
      <c r="B590" s="356"/>
      <c r="C590" s="378"/>
      <c r="D590" s="192"/>
      <c r="E590" s="192"/>
      <c r="F590" s="192"/>
      <c r="G590" s="192"/>
      <c r="H590" s="192"/>
      <c r="I590" s="192"/>
    </row>
    <row r="591" spans="1:9">
      <c r="A591" s="192"/>
      <c r="B591" s="192"/>
      <c r="C591" s="192"/>
      <c r="D591" s="192"/>
      <c r="E591" s="192"/>
      <c r="F591" s="192"/>
      <c r="G591" s="192"/>
      <c r="H591" s="192"/>
      <c r="I591" s="192"/>
    </row>
    <row r="592" spans="1:9" ht="15">
      <c r="A592" s="192"/>
      <c r="B592" s="192"/>
      <c r="C592" s="192"/>
      <c r="D592" s="192"/>
      <c r="E592" s="192"/>
      <c r="F592" s="192"/>
      <c r="G592" s="192"/>
      <c r="H592" s="195" t="s">
        <v>909</v>
      </c>
      <c r="I592" s="196" t="str">
        <f>IF(C587="","À faire",IFERROR(IF(AND(C587="Bernard",C588="Dupont",C589="Martin"),"✓ Correct","À revoir"),"À revoir"))</f>
        <v>À faire</v>
      </c>
    </row>
    <row r="593" spans="1:9">
      <c r="A593" s="192"/>
      <c r="B593" s="192"/>
      <c r="C593" s="192"/>
      <c r="D593" s="192"/>
      <c r="E593" s="192"/>
      <c r="F593" s="192"/>
      <c r="G593" s="192"/>
      <c r="H593" s="192"/>
      <c r="I593" s="192"/>
    </row>
    <row r="594" spans="1:9">
      <c r="A594" s="192"/>
      <c r="B594" s="192"/>
      <c r="C594" s="192"/>
      <c r="D594" s="192"/>
      <c r="E594" s="192"/>
      <c r="F594" s="192"/>
      <c r="G594" s="192"/>
      <c r="H594" s="192"/>
      <c r="I594" s="192"/>
    </row>
    <row r="595" spans="1:9" ht="24.95" customHeight="1">
      <c r="A595" s="192"/>
      <c r="B595" s="571" t="s">
        <v>1572</v>
      </c>
      <c r="C595" s="571"/>
      <c r="D595" s="571"/>
      <c r="E595" s="571"/>
      <c r="F595" s="571"/>
      <c r="G595" s="571"/>
      <c r="H595" s="193" t="s">
        <v>947</v>
      </c>
      <c r="I595" s="194" t="s">
        <v>1386</v>
      </c>
    </row>
    <row r="596" spans="1:9">
      <c r="A596" s="192"/>
      <c r="B596" s="192"/>
      <c r="C596" s="192"/>
      <c r="D596" s="192"/>
      <c r="E596" s="192"/>
      <c r="F596" s="192"/>
      <c r="G596" s="192"/>
      <c r="H596" s="192"/>
      <c r="I596" s="192"/>
    </row>
    <row r="597" spans="1:9" ht="42" customHeight="1">
      <c r="A597" s="192"/>
      <c r="B597" s="572" t="s">
        <v>1573</v>
      </c>
      <c r="C597" s="572"/>
      <c r="D597" s="572"/>
      <c r="E597" s="572"/>
      <c r="F597" s="572"/>
      <c r="G597" s="572"/>
      <c r="H597" s="572"/>
      <c r="I597" s="572"/>
    </row>
    <row r="598" spans="1:9">
      <c r="A598" s="192"/>
      <c r="B598" s="192"/>
      <c r="C598" s="192"/>
      <c r="D598" s="192"/>
      <c r="E598" s="192"/>
      <c r="F598" s="192"/>
      <c r="G598" s="192"/>
      <c r="H598" s="192"/>
      <c r="I598" s="192"/>
    </row>
    <row r="599" spans="1:9" ht="21.95" customHeight="1">
      <c r="A599" s="192"/>
      <c r="B599" s="197" t="s">
        <v>1272</v>
      </c>
      <c r="C599" s="197" t="s">
        <v>1087</v>
      </c>
      <c r="D599" s="197" t="s">
        <v>1097</v>
      </c>
      <c r="E599" s="197" t="s">
        <v>26</v>
      </c>
      <c r="F599" s="192"/>
      <c r="G599" s="192"/>
      <c r="H599" s="192"/>
      <c r="I599" s="192"/>
    </row>
    <row r="600" spans="1:9">
      <c r="A600" s="192"/>
      <c r="B600" s="362" t="s">
        <v>1493</v>
      </c>
      <c r="C600" s="363" t="s">
        <v>964</v>
      </c>
      <c r="D600" s="363" t="s">
        <v>1098</v>
      </c>
      <c r="E600" s="364">
        <v>480</v>
      </c>
      <c r="F600" s="192"/>
      <c r="G600" s="192"/>
      <c r="H600" s="192"/>
      <c r="I600" s="192"/>
    </row>
    <row r="601" spans="1:9">
      <c r="A601" s="192"/>
      <c r="B601" s="362" t="s">
        <v>1494</v>
      </c>
      <c r="C601" s="363" t="s">
        <v>1088</v>
      </c>
      <c r="D601" s="363" t="s">
        <v>1099</v>
      </c>
      <c r="E601" s="364">
        <v>320</v>
      </c>
      <c r="F601" s="192"/>
      <c r="G601" s="192"/>
      <c r="H601" s="192"/>
      <c r="I601" s="192"/>
    </row>
    <row r="602" spans="1:9">
      <c r="A602" s="192"/>
      <c r="B602" s="362" t="s">
        <v>1495</v>
      </c>
      <c r="C602" s="363" t="s">
        <v>964</v>
      </c>
      <c r="D602" s="363" t="s">
        <v>1098</v>
      </c>
      <c r="E602" s="364">
        <v>750</v>
      </c>
      <c r="F602" s="192"/>
      <c r="G602" s="192"/>
      <c r="H602" s="192"/>
      <c r="I602" s="192"/>
    </row>
    <row r="603" spans="1:9">
      <c r="A603" s="192"/>
      <c r="B603" s="362" t="s">
        <v>1496</v>
      </c>
      <c r="C603" s="363" t="s">
        <v>1089</v>
      </c>
      <c r="D603" s="363" t="s">
        <v>1105</v>
      </c>
      <c r="E603" s="364">
        <v>210</v>
      </c>
      <c r="F603" s="192"/>
      <c r="G603" s="192"/>
      <c r="H603" s="192"/>
      <c r="I603" s="192"/>
    </row>
    <row r="604" spans="1:9">
      <c r="A604" s="192"/>
      <c r="B604" s="362" t="s">
        <v>1497</v>
      </c>
      <c r="C604" s="363" t="s">
        <v>1088</v>
      </c>
      <c r="D604" s="363" t="s">
        <v>1098</v>
      </c>
      <c r="E604" s="364">
        <v>560</v>
      </c>
      <c r="F604" s="192"/>
      <c r="G604" s="192"/>
      <c r="H604" s="192"/>
      <c r="I604" s="192"/>
    </row>
    <row r="605" spans="1:9">
      <c r="A605" s="192"/>
      <c r="B605" s="362" t="s">
        <v>1498</v>
      </c>
      <c r="C605" s="363" t="s">
        <v>964</v>
      </c>
      <c r="D605" s="363" t="s">
        <v>1099</v>
      </c>
      <c r="E605" s="364">
        <v>430</v>
      </c>
      <c r="F605" s="192"/>
      <c r="G605" s="192"/>
      <c r="H605" s="192"/>
      <c r="I605" s="192"/>
    </row>
    <row r="606" spans="1:9">
      <c r="A606" s="192"/>
      <c r="B606" s="362" t="s">
        <v>1499</v>
      </c>
      <c r="C606" s="363" t="s">
        <v>1500</v>
      </c>
      <c r="D606" s="363" t="s">
        <v>1098</v>
      </c>
      <c r="E606" s="364">
        <v>390</v>
      </c>
      <c r="F606" s="192"/>
      <c r="G606" s="192"/>
      <c r="H606" s="192"/>
      <c r="I606" s="192"/>
    </row>
    <row r="607" spans="1:9">
      <c r="A607" s="192"/>
      <c r="B607" s="362" t="s">
        <v>1501</v>
      </c>
      <c r="C607" s="363" t="s">
        <v>1088</v>
      </c>
      <c r="D607" s="363" t="s">
        <v>1098</v>
      </c>
      <c r="E607" s="364">
        <v>620</v>
      </c>
      <c r="F607" s="192"/>
      <c r="G607" s="192"/>
      <c r="H607" s="192"/>
      <c r="I607" s="192"/>
    </row>
    <row r="608" spans="1:9">
      <c r="A608" s="192"/>
      <c r="B608" s="192"/>
      <c r="C608" s="192"/>
      <c r="D608" s="192"/>
      <c r="E608" s="192"/>
      <c r="F608" s="192"/>
      <c r="G608" s="192"/>
      <c r="H608" s="192"/>
      <c r="I608" s="192"/>
    </row>
    <row r="609" spans="1:9" ht="21.95" customHeight="1">
      <c r="A609" s="192"/>
      <c r="B609" s="192"/>
      <c r="C609" s="197" t="s">
        <v>1272</v>
      </c>
      <c r="D609" s="373" t="s">
        <v>1087</v>
      </c>
      <c r="E609" s="373" t="s">
        <v>1097</v>
      </c>
      <c r="F609" s="373" t="s">
        <v>26</v>
      </c>
      <c r="G609" s="192"/>
      <c r="H609" s="192"/>
      <c r="I609" s="192"/>
    </row>
    <row r="610" spans="1:9" ht="15">
      <c r="A610" s="192"/>
      <c r="B610" s="198" t="s">
        <v>927</v>
      </c>
      <c r="C610" s="397"/>
      <c r="D610" s="376"/>
      <c r="E610" s="376"/>
      <c r="F610" s="377"/>
      <c r="G610" s="192"/>
      <c r="H610" s="192"/>
      <c r="I610" s="192"/>
    </row>
    <row r="611" spans="1:9">
      <c r="A611" s="192"/>
      <c r="B611" s="356"/>
      <c r="C611" s="390"/>
      <c r="D611" s="376"/>
      <c r="E611" s="376"/>
      <c r="F611" s="377"/>
      <c r="G611" s="192"/>
      <c r="H611" s="192"/>
      <c r="I611" s="192"/>
    </row>
    <row r="612" spans="1:9">
      <c r="A612" s="192"/>
      <c r="B612" s="356"/>
      <c r="C612" s="375"/>
      <c r="D612" s="376"/>
      <c r="E612" s="376"/>
      <c r="F612" s="377"/>
      <c r="G612" s="192"/>
      <c r="H612" s="192"/>
      <c r="I612" s="192"/>
    </row>
    <row r="613" spans="1:9">
      <c r="A613" s="192"/>
      <c r="B613" s="356"/>
      <c r="C613" s="375"/>
      <c r="D613" s="376"/>
      <c r="E613" s="376"/>
      <c r="F613" s="377"/>
      <c r="G613" s="192"/>
      <c r="H613" s="192"/>
      <c r="I613" s="192"/>
    </row>
    <row r="614" spans="1:9">
      <c r="A614" s="192"/>
      <c r="B614" s="356"/>
      <c r="C614" s="375"/>
      <c r="D614" s="376"/>
      <c r="E614" s="376"/>
      <c r="F614" s="377"/>
      <c r="G614" s="192"/>
      <c r="H614" s="192"/>
      <c r="I614" s="192"/>
    </row>
    <row r="615" spans="1:9">
      <c r="A615" s="192"/>
      <c r="B615" s="356"/>
      <c r="C615" s="375"/>
      <c r="D615" s="376"/>
      <c r="E615" s="376"/>
      <c r="F615" s="377"/>
      <c r="G615" s="192"/>
      <c r="H615" s="192"/>
      <c r="I615" s="192"/>
    </row>
    <row r="616" spans="1:9">
      <c r="A616" s="192"/>
      <c r="B616" s="192"/>
      <c r="C616" s="192"/>
      <c r="D616" s="192"/>
      <c r="E616" s="192"/>
      <c r="F616" s="192"/>
      <c r="G616" s="192"/>
      <c r="H616" s="192"/>
      <c r="I616" s="192"/>
    </row>
    <row r="617" spans="1:9" ht="15">
      <c r="A617" s="192"/>
      <c r="B617" s="192"/>
      <c r="C617" s="192"/>
      <c r="D617" s="192"/>
      <c r="E617" s="192"/>
      <c r="F617" s="192"/>
      <c r="G617" s="192"/>
      <c r="H617" s="195" t="s">
        <v>909</v>
      </c>
      <c r="I617" s="196" t="str">
        <f>IF(C610="","À faire",IFERROR(IF(AND(C610="C-103",D610="Martin",E610="Payée",ABS(F610-750)&lt;0.0001,C611="C-108",D611="Dupont",E611="Payée",ABS(F611-620)&lt;0.0001,C612="C-105",D612="Dupont",E612="Payée",ABS(F612-560)&lt;0.0001,C613="C-101",D613="Martin",E613="Payée",ABS(F613-480)&lt;0.0001,C614="C-107",D614="Bernard",E614="Payée",ABS(F614-390)&lt;0.0001),"✓ Correct","À revoir"),"À revoir"))</f>
        <v>À faire</v>
      </c>
    </row>
    <row r="618" spans="1:9">
      <c r="A618" s="192"/>
      <c r="B618" s="192"/>
      <c r="C618" s="192"/>
      <c r="D618" s="192"/>
      <c r="E618" s="192"/>
      <c r="F618" s="192"/>
      <c r="G618" s="192"/>
      <c r="H618" s="192"/>
      <c r="I618" s="192"/>
    </row>
    <row r="619" spans="1:9">
      <c r="A619" s="192"/>
      <c r="B619" s="192"/>
      <c r="C619" s="192"/>
      <c r="D619" s="192"/>
      <c r="E619" s="192"/>
      <c r="F619" s="192"/>
      <c r="G619" s="192"/>
      <c r="H619" s="192"/>
      <c r="I619" s="192"/>
    </row>
    <row r="620" spans="1:9" ht="24.95" customHeight="1">
      <c r="A620" s="192"/>
      <c r="B620" s="571" t="s">
        <v>1574</v>
      </c>
      <c r="C620" s="571"/>
      <c r="D620" s="571"/>
      <c r="E620" s="571"/>
      <c r="F620" s="571"/>
      <c r="G620" s="571"/>
      <c r="H620" s="193" t="s">
        <v>947</v>
      </c>
      <c r="I620" s="194" t="s">
        <v>1386</v>
      </c>
    </row>
    <row r="621" spans="1:9">
      <c r="A621" s="192"/>
      <c r="B621" s="192"/>
      <c r="C621" s="192"/>
      <c r="D621" s="192"/>
      <c r="E621" s="192"/>
      <c r="F621" s="192"/>
      <c r="G621" s="192"/>
      <c r="H621" s="192"/>
      <c r="I621" s="192"/>
    </row>
    <row r="622" spans="1:9" ht="42" customHeight="1">
      <c r="A622" s="192"/>
      <c r="B622" s="572" t="s">
        <v>1575</v>
      </c>
      <c r="C622" s="572"/>
      <c r="D622" s="572"/>
      <c r="E622" s="572"/>
      <c r="F622" s="572"/>
      <c r="G622" s="572"/>
      <c r="H622" s="572"/>
      <c r="I622" s="572"/>
    </row>
    <row r="623" spans="1:9">
      <c r="A623" s="192"/>
      <c r="B623" s="192"/>
      <c r="C623" s="192"/>
      <c r="D623" s="192"/>
      <c r="E623" s="192"/>
      <c r="F623" s="192"/>
      <c r="G623" s="192"/>
      <c r="H623" s="192"/>
      <c r="I623" s="192"/>
    </row>
    <row r="624" spans="1:9" ht="21.95" customHeight="1">
      <c r="A624" s="192"/>
      <c r="B624" s="197" t="s">
        <v>1272</v>
      </c>
      <c r="C624" s="197" t="s">
        <v>1087</v>
      </c>
      <c r="D624" s="197" t="s">
        <v>1097</v>
      </c>
      <c r="E624" s="197" t="s">
        <v>26</v>
      </c>
      <c r="F624" s="192"/>
      <c r="G624" s="192"/>
      <c r="H624" s="192"/>
      <c r="I624" s="192"/>
    </row>
    <row r="625" spans="1:9">
      <c r="A625" s="192"/>
      <c r="B625" s="362" t="s">
        <v>1493</v>
      </c>
      <c r="C625" s="363" t="s">
        <v>964</v>
      </c>
      <c r="D625" s="363" t="s">
        <v>1098</v>
      </c>
      <c r="E625" s="364">
        <v>480</v>
      </c>
      <c r="F625" s="192"/>
      <c r="G625" s="192"/>
      <c r="H625" s="192"/>
      <c r="I625" s="192"/>
    </row>
    <row r="626" spans="1:9">
      <c r="A626" s="192"/>
      <c r="B626" s="362" t="s">
        <v>1494</v>
      </c>
      <c r="C626" s="363" t="s">
        <v>1088</v>
      </c>
      <c r="D626" s="363" t="s">
        <v>1099</v>
      </c>
      <c r="E626" s="364">
        <v>320</v>
      </c>
      <c r="F626" s="192"/>
      <c r="G626" s="192"/>
      <c r="H626" s="192"/>
      <c r="I626" s="192"/>
    </row>
    <row r="627" spans="1:9">
      <c r="A627" s="192"/>
      <c r="B627" s="362" t="s">
        <v>1495</v>
      </c>
      <c r="C627" s="363" t="s">
        <v>964</v>
      </c>
      <c r="D627" s="363" t="s">
        <v>1098</v>
      </c>
      <c r="E627" s="364">
        <v>750</v>
      </c>
      <c r="F627" s="192"/>
      <c r="G627" s="192"/>
      <c r="H627" s="192"/>
      <c r="I627" s="192"/>
    </row>
    <row r="628" spans="1:9">
      <c r="A628" s="192"/>
      <c r="B628" s="362" t="s">
        <v>1496</v>
      </c>
      <c r="C628" s="363" t="s">
        <v>1089</v>
      </c>
      <c r="D628" s="363" t="s">
        <v>1105</v>
      </c>
      <c r="E628" s="364">
        <v>210</v>
      </c>
      <c r="F628" s="192"/>
      <c r="G628" s="192"/>
      <c r="H628" s="192"/>
      <c r="I628" s="192"/>
    </row>
    <row r="629" spans="1:9">
      <c r="A629" s="192"/>
      <c r="B629" s="362" t="s">
        <v>1497</v>
      </c>
      <c r="C629" s="363" t="s">
        <v>1088</v>
      </c>
      <c r="D629" s="363" t="s">
        <v>1098</v>
      </c>
      <c r="E629" s="364">
        <v>560</v>
      </c>
      <c r="F629" s="192"/>
      <c r="G629" s="192"/>
      <c r="H629" s="192"/>
      <c r="I629" s="192"/>
    </row>
    <row r="630" spans="1:9">
      <c r="A630" s="192"/>
      <c r="B630" s="362" t="s">
        <v>1498</v>
      </c>
      <c r="C630" s="363" t="s">
        <v>964</v>
      </c>
      <c r="D630" s="363" t="s">
        <v>1099</v>
      </c>
      <c r="E630" s="364">
        <v>430</v>
      </c>
      <c r="F630" s="192"/>
      <c r="G630" s="192"/>
      <c r="H630" s="192"/>
      <c r="I630" s="192"/>
    </row>
    <row r="631" spans="1:9">
      <c r="A631" s="192"/>
      <c r="B631" s="362" t="s">
        <v>1499</v>
      </c>
      <c r="C631" s="363" t="s">
        <v>1500</v>
      </c>
      <c r="D631" s="363" t="s">
        <v>1098</v>
      </c>
      <c r="E631" s="364">
        <v>390</v>
      </c>
      <c r="F631" s="192"/>
      <c r="G631" s="192"/>
      <c r="H631" s="192"/>
      <c r="I631" s="192"/>
    </row>
    <row r="632" spans="1:9">
      <c r="A632" s="192"/>
      <c r="B632" s="362" t="s">
        <v>1501</v>
      </c>
      <c r="C632" s="363" t="s">
        <v>1088</v>
      </c>
      <c r="D632" s="363" t="s">
        <v>1098</v>
      </c>
      <c r="E632" s="364">
        <v>620</v>
      </c>
      <c r="F632" s="192"/>
      <c r="G632" s="192"/>
      <c r="H632" s="192"/>
      <c r="I632" s="192"/>
    </row>
    <row r="633" spans="1:9">
      <c r="A633" s="192"/>
      <c r="B633" s="192"/>
      <c r="C633" s="192"/>
      <c r="D633" s="192"/>
      <c r="E633" s="192"/>
      <c r="F633" s="192"/>
      <c r="G633" s="192"/>
      <c r="H633" s="192"/>
      <c r="I633" s="192"/>
    </row>
    <row r="634" spans="1:9" ht="15">
      <c r="A634" s="192"/>
      <c r="B634" s="192"/>
      <c r="C634" s="197" t="s">
        <v>1576</v>
      </c>
      <c r="D634" s="192"/>
      <c r="E634" s="192"/>
      <c r="F634" s="192"/>
      <c r="G634" s="192"/>
      <c r="H634" s="192"/>
      <c r="I634" s="192"/>
    </row>
    <row r="635" spans="1:9" ht="15">
      <c r="A635" s="192"/>
      <c r="B635" s="198" t="s">
        <v>927</v>
      </c>
      <c r="C635" s="397"/>
      <c r="D635" s="356"/>
      <c r="E635" s="192"/>
      <c r="F635" s="192"/>
      <c r="G635" s="192"/>
      <c r="H635" s="192"/>
      <c r="I635" s="192"/>
    </row>
    <row r="636" spans="1:9">
      <c r="A636" s="192"/>
      <c r="B636" s="356"/>
      <c r="C636" s="391"/>
      <c r="D636" s="192"/>
      <c r="E636" s="192"/>
      <c r="F636" s="192"/>
      <c r="G636" s="192"/>
      <c r="H636" s="192"/>
      <c r="I636" s="192"/>
    </row>
    <row r="637" spans="1:9">
      <c r="A637" s="192"/>
      <c r="B637" s="356"/>
      <c r="C637" s="378"/>
      <c r="D637" s="192"/>
      <c r="E637" s="192"/>
      <c r="F637" s="192"/>
      <c r="G637" s="192"/>
      <c r="H637" s="192"/>
      <c r="I637" s="192"/>
    </row>
    <row r="638" spans="1:9">
      <c r="A638" s="192"/>
      <c r="B638" s="192"/>
      <c r="C638" s="192"/>
      <c r="D638" s="192"/>
      <c r="E638" s="192"/>
      <c r="F638" s="192"/>
      <c r="G638" s="192"/>
      <c r="H638" s="192"/>
      <c r="I638" s="192"/>
    </row>
    <row r="639" spans="1:9" ht="15">
      <c r="A639" s="192"/>
      <c r="B639" s="192"/>
      <c r="C639" s="192"/>
      <c r="D639" s="192"/>
      <c r="E639" s="192"/>
      <c r="F639" s="192"/>
      <c r="G639" s="192"/>
      <c r="H639" s="195" t="s">
        <v>909</v>
      </c>
      <c r="I639" s="196" t="str">
        <f>IF(C635="","À faire",IFERROR(IF(AND(C635="Dupont",C636="Martin"),"✓ Correct","À revoir"),"À revoir"))</f>
        <v>À faire</v>
      </c>
    </row>
    <row r="640" spans="1:9">
      <c r="A640" s="192"/>
      <c r="B640" s="192"/>
      <c r="C640" s="192"/>
      <c r="D640" s="192"/>
      <c r="E640" s="192"/>
      <c r="F640" s="192"/>
      <c r="G640" s="192"/>
      <c r="H640" s="192"/>
      <c r="I640" s="192"/>
    </row>
    <row r="641" spans="1:9">
      <c r="A641" s="192"/>
      <c r="B641" s="192"/>
      <c r="C641" s="192"/>
      <c r="D641" s="192"/>
      <c r="E641" s="192"/>
      <c r="F641" s="192"/>
      <c r="G641" s="192"/>
      <c r="H641" s="192"/>
      <c r="I641" s="192"/>
    </row>
    <row r="642" spans="1:9">
      <c r="A642" s="192"/>
      <c r="B642" s="192"/>
      <c r="C642" s="192"/>
      <c r="D642" s="192"/>
      <c r="E642" s="192"/>
      <c r="F642" s="192"/>
      <c r="G642" s="192"/>
      <c r="H642" s="192"/>
      <c r="I642" s="192"/>
    </row>
    <row r="643" spans="1:9">
      <c r="A643" s="192"/>
      <c r="B643" s="192"/>
      <c r="C643" s="192"/>
      <c r="D643" s="192"/>
      <c r="E643" s="192"/>
      <c r="F643" s="192"/>
      <c r="G643" s="192"/>
      <c r="H643" s="192"/>
      <c r="I643" s="192"/>
    </row>
    <row r="644" spans="1:9" ht="24" customHeight="1">
      <c r="A644" s="192"/>
      <c r="B644" s="574" t="s">
        <v>1577</v>
      </c>
      <c r="C644" s="574"/>
      <c r="D644" s="574"/>
      <c r="E644" s="574"/>
      <c r="F644" s="574"/>
      <c r="G644" s="574"/>
      <c r="H644" s="574"/>
      <c r="I644" s="574"/>
    </row>
    <row r="645" spans="1:9">
      <c r="A645" s="192"/>
      <c r="B645" s="192"/>
      <c r="C645" s="192"/>
      <c r="D645" s="192"/>
      <c r="E645" s="192"/>
      <c r="F645" s="192"/>
      <c r="G645" s="192"/>
      <c r="H645" s="192"/>
      <c r="I645" s="192"/>
    </row>
    <row r="646" spans="1:9" ht="24.95" customHeight="1">
      <c r="A646" s="192"/>
      <c r="B646" s="571" t="s">
        <v>1578</v>
      </c>
      <c r="C646" s="571"/>
      <c r="D646" s="571"/>
      <c r="E646" s="571"/>
      <c r="F646" s="571"/>
      <c r="G646" s="571"/>
      <c r="H646" s="193" t="s">
        <v>930</v>
      </c>
      <c r="I646" s="194" t="s">
        <v>1386</v>
      </c>
    </row>
    <row r="647" spans="1:9">
      <c r="A647" s="192"/>
      <c r="B647" s="192"/>
      <c r="C647" s="192"/>
      <c r="D647" s="192"/>
      <c r="E647" s="192"/>
      <c r="F647" s="192"/>
      <c r="G647" s="192"/>
      <c r="H647" s="192"/>
      <c r="I647" s="192"/>
    </row>
    <row r="648" spans="1:9" ht="54" customHeight="1">
      <c r="A648" s="192"/>
      <c r="B648" s="572" t="s">
        <v>1579</v>
      </c>
      <c r="C648" s="572"/>
      <c r="D648" s="572"/>
      <c r="E648" s="572"/>
      <c r="F648" s="572"/>
      <c r="G648" s="572"/>
      <c r="H648" s="572"/>
      <c r="I648" s="572"/>
    </row>
    <row r="649" spans="1:9">
      <c r="A649" s="192"/>
      <c r="B649" s="192"/>
      <c r="C649" s="192"/>
      <c r="D649" s="192"/>
      <c r="E649" s="192"/>
      <c r="F649" s="192"/>
      <c r="G649" s="192"/>
      <c r="H649" s="192"/>
      <c r="I649" s="192"/>
    </row>
    <row r="650" spans="1:9" ht="21.95" customHeight="1">
      <c r="A650" s="192"/>
      <c r="B650" s="197" t="s">
        <v>1225</v>
      </c>
      <c r="C650" s="197" t="s">
        <v>24</v>
      </c>
      <c r="D650" s="197" t="s">
        <v>1312</v>
      </c>
      <c r="E650" s="192"/>
      <c r="F650" s="192"/>
      <c r="G650" s="192"/>
      <c r="H650" s="192"/>
      <c r="I650" s="192"/>
    </row>
    <row r="651" spans="1:9" ht="24" customHeight="1">
      <c r="A651" s="192"/>
      <c r="B651" s="358" t="s">
        <v>1313</v>
      </c>
      <c r="C651" s="359" t="s">
        <v>934</v>
      </c>
      <c r="D651" s="361">
        <v>12</v>
      </c>
      <c r="E651" s="205"/>
      <c r="F651" s="205"/>
      <c r="G651" s="205"/>
      <c r="H651" s="205"/>
      <c r="I651" s="205"/>
    </row>
    <row r="652" spans="1:9" ht="24" customHeight="1">
      <c r="A652" s="192"/>
      <c r="B652" s="358" t="s">
        <v>1316</v>
      </c>
      <c r="C652" s="359" t="s">
        <v>935</v>
      </c>
      <c r="D652" s="361">
        <v>8</v>
      </c>
      <c r="E652" s="205"/>
      <c r="F652" s="205"/>
      <c r="G652" s="205"/>
      <c r="H652" s="205"/>
      <c r="I652" s="205"/>
    </row>
    <row r="653" spans="1:9" ht="24" customHeight="1">
      <c r="A653" s="192"/>
      <c r="B653" s="358" t="s">
        <v>1318</v>
      </c>
      <c r="C653" s="359" t="s">
        <v>1084</v>
      </c>
      <c r="D653" s="361">
        <v>7</v>
      </c>
      <c r="E653" s="205"/>
      <c r="F653" s="205"/>
      <c r="G653" s="205"/>
      <c r="H653" s="205"/>
      <c r="I653" s="205"/>
    </row>
    <row r="654" spans="1:9" ht="24" customHeight="1">
      <c r="A654" s="192"/>
      <c r="B654" s="358" t="s">
        <v>1321</v>
      </c>
      <c r="C654" s="359" t="s">
        <v>936</v>
      </c>
      <c r="D654" s="361">
        <v>20</v>
      </c>
      <c r="E654" s="205"/>
      <c r="F654" s="205"/>
      <c r="G654" s="205"/>
      <c r="H654" s="205"/>
      <c r="I654" s="205"/>
    </row>
    <row r="655" spans="1:9" ht="24" customHeight="1">
      <c r="A655" s="192"/>
      <c r="B655" s="358" t="s">
        <v>1324</v>
      </c>
      <c r="C655" s="359" t="s">
        <v>1580</v>
      </c>
      <c r="D655" s="361">
        <v>15</v>
      </c>
      <c r="E655" s="205"/>
      <c r="F655" s="205"/>
      <c r="G655" s="205"/>
      <c r="H655" s="205"/>
      <c r="I655" s="205"/>
    </row>
    <row r="656" spans="1:9" ht="24" customHeight="1">
      <c r="A656" s="192"/>
      <c r="B656" s="358" t="s">
        <v>1327</v>
      </c>
      <c r="C656" s="359" t="s">
        <v>1581</v>
      </c>
      <c r="D656" s="361">
        <v>10</v>
      </c>
      <c r="E656" s="205"/>
      <c r="F656" s="205"/>
      <c r="G656" s="205"/>
      <c r="H656" s="205"/>
      <c r="I656" s="205"/>
    </row>
    <row r="657" spans="1:9">
      <c r="A657" s="192"/>
      <c r="B657" s="192"/>
      <c r="C657" s="192"/>
      <c r="D657" s="192"/>
      <c r="E657" s="192"/>
      <c r="F657" s="192"/>
      <c r="G657" s="192"/>
      <c r="H657" s="192"/>
      <c r="I657" s="192"/>
    </row>
    <row r="658" spans="1:9" ht="15">
      <c r="A658" s="192"/>
      <c r="B658" s="192"/>
      <c r="C658" s="197" t="s">
        <v>1582</v>
      </c>
      <c r="D658" s="192"/>
      <c r="E658" s="192"/>
      <c r="F658" s="192"/>
      <c r="G658" s="192"/>
      <c r="H658" s="192"/>
      <c r="I658" s="192"/>
    </row>
    <row r="659" spans="1:9" ht="15">
      <c r="A659" s="192"/>
      <c r="B659" s="198" t="s">
        <v>927</v>
      </c>
      <c r="C659" s="397"/>
      <c r="D659" s="356"/>
      <c r="E659" s="192"/>
      <c r="F659" s="192"/>
      <c r="G659" s="192"/>
      <c r="H659" s="192"/>
      <c r="I659" s="192"/>
    </row>
    <row r="660" spans="1:9">
      <c r="A660" s="192"/>
      <c r="B660" s="356"/>
      <c r="C660" s="391"/>
      <c r="D660" s="192"/>
      <c r="E660" s="192"/>
      <c r="F660" s="192"/>
      <c r="G660" s="192"/>
      <c r="H660" s="192"/>
      <c r="I660" s="192"/>
    </row>
    <row r="661" spans="1:9">
      <c r="A661" s="192"/>
      <c r="B661" s="356"/>
      <c r="C661" s="378"/>
      <c r="D661" s="192"/>
      <c r="E661" s="192"/>
      <c r="F661" s="192"/>
      <c r="G661" s="192"/>
      <c r="H661" s="192"/>
      <c r="I661" s="192"/>
    </row>
    <row r="662" spans="1:9">
      <c r="A662" s="192"/>
      <c r="B662" s="356"/>
      <c r="C662" s="378"/>
      <c r="D662" s="192"/>
      <c r="E662" s="192"/>
      <c r="F662" s="192"/>
      <c r="G662" s="192"/>
      <c r="H662" s="192"/>
      <c r="I662" s="192"/>
    </row>
    <row r="663" spans="1:9">
      <c r="A663" s="192"/>
      <c r="B663" s="356"/>
      <c r="C663" s="378"/>
      <c r="D663" s="192"/>
      <c r="E663" s="192"/>
      <c r="F663" s="192"/>
      <c r="G663" s="192"/>
      <c r="H663" s="192"/>
      <c r="I663" s="192"/>
    </row>
    <row r="664" spans="1:9">
      <c r="A664" s="192"/>
      <c r="B664" s="356"/>
      <c r="C664" s="378"/>
      <c r="D664" s="192"/>
      <c r="E664" s="192"/>
      <c r="F664" s="192"/>
      <c r="G664" s="192"/>
      <c r="H664" s="192"/>
      <c r="I664" s="192"/>
    </row>
    <row r="665" spans="1:9">
      <c r="A665" s="192"/>
      <c r="B665" s="356"/>
      <c r="C665" s="378"/>
      <c r="D665" s="192"/>
      <c r="E665" s="192"/>
      <c r="F665" s="192"/>
      <c r="G665" s="192"/>
      <c r="H665" s="192"/>
      <c r="I665" s="192"/>
    </row>
    <row r="666" spans="1:9">
      <c r="A666" s="192"/>
      <c r="B666" s="192"/>
      <c r="C666" s="192"/>
      <c r="D666" s="192"/>
      <c r="E666" s="192"/>
      <c r="F666" s="192"/>
      <c r="G666" s="192"/>
      <c r="H666" s="192"/>
      <c r="I666" s="192"/>
    </row>
    <row r="667" spans="1:9" ht="15">
      <c r="A667" s="192"/>
      <c r="B667" s="192"/>
      <c r="C667" s="192"/>
      <c r="D667" s="192"/>
      <c r="E667" s="192"/>
      <c r="F667" s="192"/>
      <c r="G667" s="192"/>
      <c r="H667" s="195" t="s">
        <v>909</v>
      </c>
      <c r="I667" s="196" t="str">
        <f>IF(C659="","À faire",IFERROR(IF(AND(C659="Casque",C660="Hub USB",C661="Clavier",C662="Webcam",C663="Souris",C664="Écran"),"✓ Correct","À revoir"),"À revoir"))</f>
        <v>À faire</v>
      </c>
    </row>
    <row r="668" spans="1:9">
      <c r="A668" s="192"/>
      <c r="B668" s="192"/>
      <c r="C668" s="192"/>
      <c r="D668" s="192"/>
      <c r="E668" s="192"/>
      <c r="F668" s="192"/>
      <c r="G668" s="192"/>
      <c r="H668" s="192"/>
      <c r="I668" s="192"/>
    </row>
    <row r="669" spans="1:9">
      <c r="A669" s="192"/>
      <c r="B669" s="192"/>
      <c r="C669" s="192"/>
      <c r="D669" s="192"/>
      <c r="E669" s="192"/>
      <c r="F669" s="192"/>
      <c r="G669" s="192"/>
      <c r="H669" s="192"/>
      <c r="I669" s="192"/>
    </row>
    <row r="670" spans="1:9" ht="24.95" customHeight="1">
      <c r="A670" s="192"/>
      <c r="B670" s="571" t="s">
        <v>1583</v>
      </c>
      <c r="C670" s="571"/>
      <c r="D670" s="571"/>
      <c r="E670" s="571"/>
      <c r="F670" s="571"/>
      <c r="G670" s="571"/>
      <c r="H670" s="193" t="s">
        <v>947</v>
      </c>
      <c r="I670" s="194" t="s">
        <v>1386</v>
      </c>
    </row>
    <row r="671" spans="1:9">
      <c r="A671" s="192"/>
      <c r="B671" s="192"/>
      <c r="C671" s="192"/>
      <c r="D671" s="192"/>
      <c r="E671" s="192"/>
      <c r="F671" s="192"/>
      <c r="G671" s="192"/>
      <c r="H671" s="192"/>
      <c r="I671" s="192"/>
    </row>
    <row r="672" spans="1:9" ht="54" customHeight="1">
      <c r="A672" s="192"/>
      <c r="B672" s="572" t="s">
        <v>1584</v>
      </c>
      <c r="C672" s="572"/>
      <c r="D672" s="572"/>
      <c r="E672" s="572"/>
      <c r="F672" s="572"/>
      <c r="G672" s="572"/>
      <c r="H672" s="572"/>
      <c r="I672" s="572"/>
    </row>
    <row r="673" spans="1:9">
      <c r="A673" s="192"/>
      <c r="B673" s="192"/>
      <c r="C673" s="192"/>
      <c r="D673" s="192"/>
      <c r="E673" s="192"/>
      <c r="F673" s="192"/>
      <c r="G673" s="192"/>
      <c r="H673" s="192"/>
      <c r="I673" s="192"/>
    </row>
    <row r="674" spans="1:9" ht="21.95" customHeight="1">
      <c r="A674" s="192"/>
      <c r="B674" s="197" t="s">
        <v>1272</v>
      </c>
      <c r="C674" s="197" t="s">
        <v>1087</v>
      </c>
      <c r="D674" s="197" t="s">
        <v>1097</v>
      </c>
      <c r="E674" s="197" t="s">
        <v>26</v>
      </c>
      <c r="F674" s="192"/>
      <c r="G674" s="192"/>
      <c r="H674" s="192"/>
      <c r="I674" s="192"/>
    </row>
    <row r="675" spans="1:9" ht="24" customHeight="1">
      <c r="A675" s="192"/>
      <c r="B675" s="358" t="s">
        <v>1493</v>
      </c>
      <c r="C675" s="359" t="s">
        <v>964</v>
      </c>
      <c r="D675" s="359" t="s">
        <v>1098</v>
      </c>
      <c r="E675" s="360">
        <v>480</v>
      </c>
      <c r="F675" s="205"/>
      <c r="G675" s="205"/>
      <c r="H675" s="205"/>
      <c r="I675" s="205"/>
    </row>
    <row r="676" spans="1:9" ht="24" customHeight="1">
      <c r="A676" s="192"/>
      <c r="B676" s="358" t="s">
        <v>1494</v>
      </c>
      <c r="C676" s="359" t="s">
        <v>1088</v>
      </c>
      <c r="D676" s="359" t="s">
        <v>1099</v>
      </c>
      <c r="E676" s="360">
        <v>320</v>
      </c>
      <c r="F676" s="205"/>
      <c r="G676" s="205"/>
      <c r="H676" s="205"/>
      <c r="I676" s="205"/>
    </row>
    <row r="677" spans="1:9" ht="24" customHeight="1">
      <c r="A677" s="192"/>
      <c r="B677" s="358" t="s">
        <v>1495</v>
      </c>
      <c r="C677" s="359" t="s">
        <v>964</v>
      </c>
      <c r="D677" s="359" t="s">
        <v>1098</v>
      </c>
      <c r="E677" s="360">
        <v>750</v>
      </c>
      <c r="F677" s="205"/>
      <c r="G677" s="205"/>
      <c r="H677" s="205"/>
      <c r="I677" s="205"/>
    </row>
    <row r="678" spans="1:9" ht="24" customHeight="1">
      <c r="A678" s="192"/>
      <c r="B678" s="358" t="s">
        <v>1496</v>
      </c>
      <c r="C678" s="359" t="s">
        <v>1089</v>
      </c>
      <c r="D678" s="359" t="s">
        <v>1105</v>
      </c>
      <c r="E678" s="360">
        <v>210</v>
      </c>
      <c r="F678" s="205"/>
      <c r="G678" s="205"/>
      <c r="H678" s="205"/>
      <c r="I678" s="205"/>
    </row>
    <row r="679" spans="1:9" ht="24" customHeight="1">
      <c r="A679" s="192"/>
      <c r="B679" s="358" t="s">
        <v>1497</v>
      </c>
      <c r="C679" s="359" t="s">
        <v>1088</v>
      </c>
      <c r="D679" s="359" t="s">
        <v>1098</v>
      </c>
      <c r="E679" s="360">
        <v>560</v>
      </c>
      <c r="F679" s="205"/>
      <c r="G679" s="205"/>
      <c r="H679" s="205"/>
      <c r="I679" s="205"/>
    </row>
    <row r="680" spans="1:9" ht="24" customHeight="1">
      <c r="A680" s="192"/>
      <c r="B680" s="358" t="s">
        <v>1498</v>
      </c>
      <c r="C680" s="359" t="s">
        <v>964</v>
      </c>
      <c r="D680" s="359" t="s">
        <v>1099</v>
      </c>
      <c r="E680" s="360">
        <v>430</v>
      </c>
      <c r="F680" s="205"/>
      <c r="G680" s="205"/>
      <c r="H680" s="205"/>
      <c r="I680" s="205"/>
    </row>
    <row r="681" spans="1:9" ht="24" customHeight="1">
      <c r="A681" s="192"/>
      <c r="B681" s="358" t="s">
        <v>1499</v>
      </c>
      <c r="C681" s="359" t="s">
        <v>1500</v>
      </c>
      <c r="D681" s="359" t="s">
        <v>1098</v>
      </c>
      <c r="E681" s="360">
        <v>390</v>
      </c>
      <c r="F681" s="205"/>
      <c r="G681" s="205"/>
      <c r="H681" s="205"/>
      <c r="I681" s="205"/>
    </row>
    <row r="682" spans="1:9" ht="24" customHeight="1">
      <c r="A682" s="192"/>
      <c r="B682" s="358" t="s">
        <v>1501</v>
      </c>
      <c r="C682" s="359" t="s">
        <v>1088</v>
      </c>
      <c r="D682" s="359" t="s">
        <v>1098</v>
      </c>
      <c r="E682" s="360">
        <v>620</v>
      </c>
      <c r="F682" s="205"/>
      <c r="G682" s="205"/>
      <c r="H682" s="205"/>
      <c r="I682" s="205"/>
    </row>
    <row r="683" spans="1:9">
      <c r="A683" s="192"/>
      <c r="B683" s="192"/>
      <c r="C683" s="192"/>
      <c r="D683" s="192"/>
      <c r="E683" s="192"/>
      <c r="F683" s="192"/>
      <c r="G683" s="192"/>
      <c r="H683" s="192"/>
      <c r="I683" s="192"/>
    </row>
    <row r="684" spans="1:9" ht="15">
      <c r="A684" s="192"/>
      <c r="B684" s="192"/>
      <c r="C684" s="197" t="s">
        <v>1504</v>
      </c>
      <c r="D684" s="192"/>
      <c r="E684" s="192"/>
      <c r="F684" s="192"/>
      <c r="G684" s="192"/>
      <c r="H684" s="192"/>
      <c r="I684" s="192"/>
    </row>
    <row r="685" spans="1:9" ht="15">
      <c r="A685" s="192"/>
      <c r="B685" s="198" t="s">
        <v>927</v>
      </c>
      <c r="C685" s="401"/>
      <c r="D685" s="356"/>
      <c r="E685" s="198" t="s">
        <v>1558</v>
      </c>
      <c r="F685" s="397"/>
      <c r="G685" s="356"/>
      <c r="H685" s="192"/>
      <c r="I685" s="192"/>
    </row>
    <row r="686" spans="1:9" ht="15">
      <c r="A686" s="192"/>
      <c r="B686" s="372"/>
      <c r="C686" s="391"/>
      <c r="D686" s="192"/>
      <c r="E686" s="204"/>
      <c r="F686" s="357"/>
      <c r="G686" s="192"/>
      <c r="H686" s="192"/>
      <c r="I686" s="192"/>
    </row>
    <row r="687" spans="1:9">
      <c r="A687" s="192"/>
      <c r="B687" s="356"/>
      <c r="C687" s="378"/>
      <c r="D687" s="192"/>
      <c r="E687" s="192"/>
      <c r="F687" s="192"/>
      <c r="G687" s="192"/>
      <c r="H687" s="192"/>
      <c r="I687" s="192"/>
    </row>
    <row r="688" spans="1:9">
      <c r="A688" s="192"/>
      <c r="B688" s="356"/>
      <c r="C688" s="378"/>
      <c r="D688" s="192"/>
      <c r="E688" s="192"/>
      <c r="F688" s="192"/>
      <c r="G688" s="192"/>
      <c r="H688" s="192"/>
      <c r="I688" s="192"/>
    </row>
    <row r="689" spans="1:9">
      <c r="A689" s="192"/>
      <c r="B689" s="192"/>
      <c r="C689" s="192"/>
      <c r="D689" s="192"/>
      <c r="E689" s="192"/>
      <c r="F689" s="192"/>
      <c r="G689" s="192"/>
      <c r="H689" s="192"/>
      <c r="I689" s="192"/>
    </row>
    <row r="690" spans="1:9" ht="15">
      <c r="A690" s="192"/>
      <c r="B690" s="192"/>
      <c r="C690" s="192"/>
      <c r="D690" s="192"/>
      <c r="E690" s="192"/>
      <c r="F690" s="192"/>
      <c r="G690" s="192"/>
      <c r="H690" s="195" t="s">
        <v>909</v>
      </c>
      <c r="I690" s="196" t="str">
        <f>IF(OR(C685="",F685=""),"À faire",IFERROR(IF(AND(C685="Bernard",C686="Dupont",C687="Martin",F685=3),"✓ Correct","À revoir"),"À revoir"))</f>
        <v>À faire</v>
      </c>
    </row>
    <row r="691" spans="1:9">
      <c r="A691" s="192"/>
      <c r="B691" s="192"/>
      <c r="C691" s="192"/>
      <c r="D691" s="192"/>
      <c r="E691" s="192"/>
      <c r="F691" s="192"/>
      <c r="G691" s="192"/>
      <c r="H691" s="192"/>
      <c r="I691" s="192"/>
    </row>
    <row r="692" spans="1:9">
      <c r="A692" s="192"/>
      <c r="B692" s="192"/>
      <c r="C692" s="192"/>
      <c r="D692" s="192"/>
      <c r="E692" s="192"/>
      <c r="F692" s="192"/>
      <c r="G692" s="192"/>
      <c r="H692" s="192"/>
      <c r="I692" s="192"/>
    </row>
    <row r="693" spans="1:9" ht="24.95" customHeight="1">
      <c r="A693" s="192"/>
      <c r="B693" s="571" t="s">
        <v>1585</v>
      </c>
      <c r="C693" s="571"/>
      <c r="D693" s="571"/>
      <c r="E693" s="571"/>
      <c r="F693" s="571"/>
      <c r="G693" s="571"/>
      <c r="H693" s="193" t="s">
        <v>947</v>
      </c>
      <c r="I693" s="194" t="s">
        <v>1386</v>
      </c>
    </row>
    <row r="694" spans="1:9">
      <c r="A694" s="192"/>
      <c r="B694" s="192"/>
      <c r="C694" s="192"/>
      <c r="D694" s="192"/>
      <c r="E694" s="192"/>
      <c r="F694" s="192"/>
      <c r="G694" s="192"/>
      <c r="H694" s="192"/>
      <c r="I694" s="192"/>
    </row>
    <row r="695" spans="1:9" ht="68.099999999999994" customHeight="1">
      <c r="A695" s="192"/>
      <c r="B695" s="572" t="s">
        <v>1586</v>
      </c>
      <c r="C695" s="572"/>
      <c r="D695" s="572"/>
      <c r="E695" s="572"/>
      <c r="F695" s="572"/>
      <c r="G695" s="572"/>
      <c r="H695" s="572"/>
      <c r="I695" s="572"/>
    </row>
    <row r="696" spans="1:9">
      <c r="A696" s="192"/>
      <c r="B696" s="192"/>
      <c r="C696" s="192"/>
      <c r="D696" s="192"/>
      <c r="E696" s="192"/>
      <c r="F696" s="192"/>
      <c r="G696" s="192"/>
      <c r="H696" s="192"/>
      <c r="I696" s="192"/>
    </row>
    <row r="697" spans="1:9" ht="21.95" customHeight="1">
      <c r="A697" s="192"/>
      <c r="B697" s="197" t="s">
        <v>1272</v>
      </c>
      <c r="C697" s="197" t="s">
        <v>1087</v>
      </c>
      <c r="D697" s="197" t="s">
        <v>1097</v>
      </c>
      <c r="E697" s="197" t="s">
        <v>26</v>
      </c>
      <c r="F697" s="192"/>
      <c r="G697" s="192"/>
      <c r="H697" s="192"/>
      <c r="I697" s="192"/>
    </row>
    <row r="698" spans="1:9" ht="24" customHeight="1">
      <c r="A698" s="192"/>
      <c r="B698" s="358" t="s">
        <v>1493</v>
      </c>
      <c r="C698" s="359" t="s">
        <v>964</v>
      </c>
      <c r="D698" s="359" t="s">
        <v>1098</v>
      </c>
      <c r="E698" s="360">
        <v>480</v>
      </c>
      <c r="F698" s="205"/>
      <c r="G698" s="205"/>
      <c r="H698" s="205"/>
      <c r="I698" s="205"/>
    </row>
    <row r="699" spans="1:9" ht="24" customHeight="1">
      <c r="A699" s="192"/>
      <c r="B699" s="358" t="s">
        <v>1494</v>
      </c>
      <c r="C699" s="359" t="s">
        <v>1088</v>
      </c>
      <c r="D699" s="359" t="s">
        <v>1099</v>
      </c>
      <c r="E699" s="360">
        <v>320</v>
      </c>
      <c r="F699" s="205"/>
      <c r="G699" s="205"/>
      <c r="H699" s="205"/>
      <c r="I699" s="205"/>
    </row>
    <row r="700" spans="1:9" ht="24" customHeight="1">
      <c r="A700" s="192"/>
      <c r="B700" s="358" t="s">
        <v>1495</v>
      </c>
      <c r="C700" s="359" t="s">
        <v>964</v>
      </c>
      <c r="D700" s="359" t="s">
        <v>1098</v>
      </c>
      <c r="E700" s="360">
        <v>750</v>
      </c>
      <c r="F700" s="205"/>
      <c r="G700" s="205"/>
      <c r="H700" s="205"/>
      <c r="I700" s="205"/>
    </row>
    <row r="701" spans="1:9" ht="24" customHeight="1">
      <c r="A701" s="192"/>
      <c r="B701" s="358" t="s">
        <v>1496</v>
      </c>
      <c r="C701" s="359" t="s">
        <v>1089</v>
      </c>
      <c r="D701" s="359" t="s">
        <v>1105</v>
      </c>
      <c r="E701" s="360">
        <v>210</v>
      </c>
      <c r="F701" s="205"/>
      <c r="G701" s="205"/>
      <c r="H701" s="205"/>
      <c r="I701" s="205"/>
    </row>
    <row r="702" spans="1:9" ht="24" customHeight="1">
      <c r="A702" s="192"/>
      <c r="B702" s="358" t="s">
        <v>1497</v>
      </c>
      <c r="C702" s="359" t="s">
        <v>1088</v>
      </c>
      <c r="D702" s="359" t="s">
        <v>1098</v>
      </c>
      <c r="E702" s="360">
        <v>560</v>
      </c>
      <c r="F702" s="205"/>
      <c r="G702" s="205"/>
      <c r="H702" s="205"/>
      <c r="I702" s="205"/>
    </row>
    <row r="703" spans="1:9" ht="24" customHeight="1">
      <c r="A703" s="192"/>
      <c r="B703" s="358" t="s">
        <v>1498</v>
      </c>
      <c r="C703" s="359" t="s">
        <v>964</v>
      </c>
      <c r="D703" s="359" t="s">
        <v>1099</v>
      </c>
      <c r="E703" s="360">
        <v>430</v>
      </c>
      <c r="F703" s="205"/>
      <c r="G703" s="205"/>
      <c r="H703" s="205"/>
      <c r="I703" s="205"/>
    </row>
    <row r="704" spans="1:9" ht="24" customHeight="1">
      <c r="A704" s="192"/>
      <c r="B704" s="358" t="s">
        <v>1499</v>
      </c>
      <c r="C704" s="359" t="s">
        <v>1500</v>
      </c>
      <c r="D704" s="359" t="s">
        <v>1098</v>
      </c>
      <c r="E704" s="360">
        <v>390</v>
      </c>
      <c r="F704" s="205"/>
      <c r="G704" s="205"/>
      <c r="H704" s="205"/>
      <c r="I704" s="205"/>
    </row>
    <row r="705" spans="1:9" ht="24" customHeight="1">
      <c r="A705" s="192"/>
      <c r="B705" s="358" t="s">
        <v>1501</v>
      </c>
      <c r="C705" s="359" t="s">
        <v>1088</v>
      </c>
      <c r="D705" s="359" t="s">
        <v>1098</v>
      </c>
      <c r="E705" s="360">
        <v>620</v>
      </c>
      <c r="F705" s="205"/>
      <c r="G705" s="205"/>
      <c r="H705" s="205"/>
      <c r="I705" s="205"/>
    </row>
    <row r="706" spans="1:9">
      <c r="A706" s="192"/>
      <c r="B706" s="192"/>
      <c r="C706" s="192"/>
      <c r="D706" s="192"/>
      <c r="E706" s="192"/>
      <c r="F706" s="192"/>
      <c r="G706" s="192"/>
      <c r="H706" s="192"/>
      <c r="I706" s="192"/>
    </row>
    <row r="707" spans="1:9" ht="21.95" customHeight="1">
      <c r="A707" s="192"/>
      <c r="B707" s="192"/>
      <c r="C707" s="197" t="s">
        <v>1587</v>
      </c>
      <c r="D707" s="197" t="s">
        <v>1588</v>
      </c>
      <c r="E707" s="192"/>
      <c r="F707" s="192"/>
      <c r="G707" s="192"/>
      <c r="H707" s="192"/>
      <c r="I707" s="192"/>
    </row>
    <row r="708" spans="1:9" ht="15">
      <c r="A708" s="192"/>
      <c r="B708" s="198" t="s">
        <v>1589</v>
      </c>
      <c r="C708" s="402"/>
      <c r="D708" s="403"/>
      <c r="E708" s="356"/>
      <c r="F708" s="192"/>
      <c r="G708" s="192"/>
      <c r="H708" s="192"/>
      <c r="I708" s="192"/>
    </row>
    <row r="709" spans="1:9">
      <c r="A709" s="192"/>
      <c r="B709" s="356"/>
      <c r="C709" s="390"/>
      <c r="D709" s="396"/>
      <c r="E709" s="192"/>
      <c r="F709" s="192"/>
      <c r="G709" s="192"/>
      <c r="H709" s="192"/>
      <c r="I709" s="192"/>
    </row>
    <row r="710" spans="1:9">
      <c r="A710" s="192"/>
      <c r="B710" s="356"/>
      <c r="C710" s="375"/>
      <c r="D710" s="377"/>
      <c r="E710" s="192"/>
      <c r="F710" s="192"/>
      <c r="G710" s="192"/>
      <c r="H710" s="192"/>
      <c r="I710" s="192"/>
    </row>
    <row r="711" spans="1:9">
      <c r="A711" s="192"/>
      <c r="B711" s="356"/>
      <c r="C711" s="375"/>
      <c r="D711" s="377"/>
      <c r="E711" s="192"/>
      <c r="F711" s="192"/>
      <c r="G711" s="192"/>
      <c r="H711" s="192"/>
      <c r="I711" s="192"/>
    </row>
    <row r="712" spans="1:9">
      <c r="A712" s="192"/>
      <c r="B712" s="192"/>
      <c r="C712" s="192"/>
      <c r="D712" s="192"/>
      <c r="E712" s="192"/>
      <c r="F712" s="192"/>
      <c r="G712" s="192"/>
      <c r="H712" s="192"/>
      <c r="I712" s="192"/>
    </row>
    <row r="713" spans="1:9">
      <c r="A713" s="192"/>
      <c r="B713" s="192"/>
      <c r="C713" s="192"/>
      <c r="D713" s="192"/>
      <c r="E713" s="192"/>
      <c r="F713" s="192"/>
      <c r="G713" s="192"/>
      <c r="H713" s="192"/>
      <c r="I713" s="192"/>
    </row>
    <row r="714" spans="1:9" ht="15">
      <c r="A714" s="192"/>
      <c r="B714" s="192"/>
      <c r="C714" s="192"/>
      <c r="D714" s="192"/>
      <c r="E714" s="192"/>
      <c r="F714" s="192"/>
      <c r="G714" s="192"/>
      <c r="H714" s="195" t="s">
        <v>909</v>
      </c>
      <c r="I714" s="196" t="str">
        <f>IF(OR(C708="",D708=""),"À faire",IFERROR(IF(AND(C708="Bernard",C709="Dupont",C710="Leroy",C711="Martin",ABS(D708-390)&lt;0.0001,ABS(D709-1500)&lt;0.0001,ABS(D710-210)&lt;0.0001,ABS(D711-1660)&lt;0.0001),"✓ Correct","À revoir"),"À revoir"))</f>
        <v>À faire</v>
      </c>
    </row>
    <row r="715" spans="1:9">
      <c r="A715" s="192"/>
      <c r="B715" s="192"/>
      <c r="C715" s="192"/>
      <c r="D715" s="192"/>
      <c r="E715" s="192"/>
      <c r="F715" s="192"/>
      <c r="G715" s="192"/>
      <c r="H715" s="192"/>
      <c r="I715" s="192"/>
    </row>
    <row r="716" spans="1:9">
      <c r="A716" s="192"/>
      <c r="B716" s="192"/>
      <c r="C716" s="192"/>
      <c r="D716" s="192"/>
      <c r="E716" s="192"/>
      <c r="F716" s="192"/>
      <c r="G716" s="192"/>
      <c r="H716" s="192"/>
      <c r="I716" s="192"/>
    </row>
    <row r="717" spans="1:9">
      <c r="A717" s="192"/>
      <c r="B717" s="192"/>
      <c r="C717" s="192"/>
      <c r="D717" s="192"/>
      <c r="E717" s="192"/>
      <c r="F717" s="192"/>
      <c r="G717" s="192"/>
      <c r="H717" s="192"/>
      <c r="I717" s="192"/>
    </row>
    <row r="718" spans="1:9">
      <c r="A718" s="192"/>
      <c r="B718" s="192"/>
      <c r="C718" s="192"/>
      <c r="D718" s="192"/>
      <c r="E718" s="192"/>
      <c r="F718" s="192"/>
      <c r="G718" s="192"/>
      <c r="H718" s="192"/>
      <c r="I718" s="192"/>
    </row>
    <row r="719" spans="1:9">
      <c r="A719" s="192"/>
      <c r="B719" s="192"/>
      <c r="C719" s="192"/>
      <c r="D719" s="192"/>
      <c r="E719" s="192"/>
      <c r="F719" s="192"/>
      <c r="G719" s="192"/>
      <c r="H719" s="192"/>
      <c r="I719" s="192"/>
    </row>
    <row r="720" spans="1:9">
      <c r="A720" s="192"/>
      <c r="B720" s="192"/>
      <c r="C720" s="192"/>
      <c r="D720" s="192"/>
      <c r="E720" s="192"/>
      <c r="F720" s="192"/>
      <c r="G720" s="192"/>
      <c r="H720" s="192"/>
      <c r="I720" s="192"/>
    </row>
    <row r="721" spans="1:9">
      <c r="A721" s="192"/>
      <c r="B721" s="192"/>
      <c r="C721" s="192"/>
      <c r="D721" s="192"/>
      <c r="E721" s="192"/>
      <c r="F721" s="192"/>
      <c r="G721" s="192"/>
      <c r="H721" s="192"/>
      <c r="I721" s="192"/>
    </row>
    <row r="722" spans="1:9">
      <c r="A722" s="192"/>
      <c r="B722" s="192"/>
      <c r="C722" s="192"/>
      <c r="D722" s="192"/>
      <c r="E722" s="192"/>
      <c r="F722" s="192"/>
      <c r="G722" s="192"/>
      <c r="H722" s="192"/>
      <c r="I722" s="192"/>
    </row>
    <row r="723" spans="1:9">
      <c r="A723" s="192"/>
      <c r="B723" s="192"/>
      <c r="C723" s="192"/>
      <c r="D723" s="192"/>
      <c r="E723" s="192"/>
      <c r="F723" s="192"/>
      <c r="G723" s="192"/>
      <c r="H723" s="192"/>
      <c r="I723" s="192"/>
    </row>
    <row r="724" spans="1:9">
      <c r="A724" s="192"/>
      <c r="B724" s="192"/>
      <c r="C724" s="192"/>
      <c r="D724" s="192"/>
      <c r="E724" s="192"/>
      <c r="F724" s="192"/>
      <c r="G724" s="192"/>
      <c r="H724" s="192"/>
      <c r="I724" s="192"/>
    </row>
    <row r="725" spans="1:9">
      <c r="A725" s="192"/>
      <c r="B725" s="192"/>
      <c r="C725" s="192"/>
      <c r="D725" s="192"/>
      <c r="E725" s="192"/>
      <c r="F725" s="192"/>
      <c r="G725" s="192"/>
      <c r="H725" s="192"/>
      <c r="I725" s="192"/>
    </row>
    <row r="726" spans="1:9">
      <c r="A726" s="192"/>
      <c r="B726" s="192"/>
      <c r="C726" s="192"/>
      <c r="D726" s="192"/>
      <c r="E726" s="192"/>
      <c r="F726" s="192"/>
      <c r="G726" s="192"/>
      <c r="H726" s="192"/>
      <c r="I726" s="192"/>
    </row>
    <row r="727" spans="1:9">
      <c r="A727" s="192"/>
      <c r="B727" s="192"/>
      <c r="C727" s="192"/>
      <c r="D727" s="192"/>
      <c r="E727" s="192"/>
      <c r="F727" s="192"/>
      <c r="G727" s="192"/>
      <c r="H727" s="192"/>
      <c r="I727" s="192"/>
    </row>
    <row r="728" spans="1:9">
      <c r="A728" s="192"/>
      <c r="B728" s="192"/>
      <c r="C728" s="192"/>
      <c r="D728" s="192"/>
      <c r="E728" s="192"/>
      <c r="F728" s="192"/>
      <c r="G728" s="192"/>
      <c r="H728" s="192"/>
      <c r="I728" s="192"/>
    </row>
    <row r="729" spans="1:9">
      <c r="A729" s="192"/>
      <c r="B729" s="192"/>
      <c r="C729" s="192"/>
      <c r="D729" s="192"/>
      <c r="E729" s="192"/>
      <c r="F729" s="192"/>
      <c r="G729" s="192"/>
      <c r="H729" s="192"/>
      <c r="I729" s="192"/>
    </row>
    <row r="730" spans="1:9">
      <c r="A730" s="192"/>
      <c r="B730" s="192"/>
      <c r="C730" s="192"/>
      <c r="D730" s="192"/>
      <c r="E730" s="192"/>
      <c r="F730" s="192"/>
      <c r="G730" s="192"/>
      <c r="H730" s="192"/>
      <c r="I730" s="192"/>
    </row>
    <row r="731" spans="1:9">
      <c r="A731" s="192"/>
      <c r="B731" s="192"/>
      <c r="C731" s="192"/>
      <c r="D731" s="192"/>
      <c r="E731" s="192"/>
      <c r="F731" s="192"/>
      <c r="G731" s="192"/>
      <c r="H731" s="192"/>
      <c r="I731" s="192"/>
    </row>
    <row r="732" spans="1:9">
      <c r="A732" s="192"/>
      <c r="B732" s="192"/>
      <c r="C732" s="192"/>
      <c r="D732" s="192"/>
      <c r="E732" s="192"/>
      <c r="F732" s="192"/>
      <c r="G732" s="192"/>
      <c r="H732" s="192"/>
      <c r="I732" s="192"/>
    </row>
    <row r="733" spans="1:9">
      <c r="A733" s="192"/>
      <c r="B733" s="192"/>
      <c r="C733" s="192"/>
      <c r="D733" s="192"/>
      <c r="E733" s="192"/>
      <c r="F733" s="192"/>
      <c r="G733" s="192"/>
      <c r="H733" s="192"/>
      <c r="I733" s="192"/>
    </row>
    <row r="734" spans="1:9">
      <c r="A734" s="192"/>
      <c r="B734" s="192"/>
      <c r="C734" s="192"/>
      <c r="D734" s="192"/>
      <c r="E734" s="192"/>
      <c r="F734" s="192"/>
      <c r="G734" s="192"/>
      <c r="H734" s="192"/>
      <c r="I734" s="192"/>
    </row>
    <row r="735" spans="1:9">
      <c r="A735" s="192"/>
      <c r="B735" s="192"/>
      <c r="C735" s="192"/>
      <c r="D735" s="192"/>
      <c r="E735" s="192"/>
      <c r="F735" s="192"/>
      <c r="G735" s="192"/>
      <c r="H735" s="192"/>
      <c r="I735" s="192"/>
    </row>
    <row r="736" spans="1:9">
      <c r="A736" s="192"/>
      <c r="B736" s="192"/>
      <c r="C736" s="192"/>
      <c r="D736" s="192"/>
      <c r="E736" s="192"/>
      <c r="F736" s="192"/>
      <c r="G736" s="192"/>
      <c r="H736" s="192"/>
      <c r="I736" s="192"/>
    </row>
    <row r="737" spans="1:9">
      <c r="A737" s="192"/>
      <c r="B737" s="192"/>
      <c r="C737" s="192"/>
      <c r="D737" s="192"/>
      <c r="E737" s="192"/>
      <c r="F737" s="192"/>
      <c r="G737" s="192"/>
      <c r="H737" s="192"/>
      <c r="I737" s="192"/>
    </row>
    <row r="738" spans="1:9">
      <c r="A738" s="192"/>
      <c r="B738" s="192"/>
      <c r="C738" s="192"/>
      <c r="D738" s="192"/>
      <c r="E738" s="192"/>
      <c r="F738" s="192"/>
      <c r="G738" s="192"/>
      <c r="H738" s="192"/>
      <c r="I738" s="192"/>
    </row>
    <row r="739" spans="1:9">
      <c r="A739" s="192"/>
      <c r="B739" s="192"/>
      <c r="C739" s="192"/>
      <c r="D739" s="192"/>
      <c r="E739" s="192"/>
      <c r="F739" s="192"/>
      <c r="G739" s="192"/>
      <c r="H739" s="192"/>
      <c r="I739" s="192"/>
    </row>
    <row r="740" spans="1:9">
      <c r="A740" s="192"/>
      <c r="B740" s="192"/>
      <c r="C740" s="192"/>
      <c r="D740" s="192"/>
      <c r="E740" s="192"/>
      <c r="F740" s="192"/>
      <c r="G740" s="192"/>
      <c r="H740" s="192"/>
      <c r="I740" s="192"/>
    </row>
    <row r="741" spans="1:9">
      <c r="A741" s="192"/>
      <c r="B741" s="192"/>
      <c r="C741" s="192"/>
      <c r="D741" s="192"/>
      <c r="E741" s="192"/>
      <c r="F741" s="192"/>
      <c r="G741" s="192"/>
      <c r="H741" s="192"/>
      <c r="I741" s="192"/>
    </row>
    <row r="742" spans="1:9">
      <c r="A742" s="192"/>
      <c r="B742" s="192"/>
      <c r="C742" s="192"/>
      <c r="D742" s="192"/>
      <c r="E742" s="192"/>
      <c r="F742" s="192"/>
      <c r="G742" s="192"/>
      <c r="H742" s="192"/>
      <c r="I742" s="192"/>
    </row>
    <row r="743" spans="1:9">
      <c r="A743" s="192"/>
      <c r="B743" s="192"/>
      <c r="C743" s="192"/>
      <c r="D743" s="192"/>
      <c r="E743" s="192"/>
      <c r="F743" s="192"/>
      <c r="G743" s="192"/>
      <c r="H743" s="192"/>
      <c r="I743" s="192"/>
    </row>
    <row r="744" spans="1:9">
      <c r="A744" s="192"/>
      <c r="B744" s="192"/>
      <c r="C744" s="192"/>
      <c r="D744" s="192"/>
      <c r="E744" s="192"/>
      <c r="F744" s="192"/>
      <c r="G744" s="192"/>
      <c r="H744" s="192"/>
      <c r="I744" s="192"/>
    </row>
    <row r="745" spans="1:9">
      <c r="A745" s="192"/>
      <c r="B745" s="192"/>
      <c r="C745" s="192"/>
      <c r="D745" s="192"/>
      <c r="E745" s="192"/>
      <c r="F745" s="192"/>
      <c r="G745" s="192"/>
      <c r="H745" s="192"/>
      <c r="I745" s="192"/>
    </row>
    <row r="746" spans="1:9">
      <c r="A746" s="192"/>
      <c r="B746" s="192"/>
      <c r="C746" s="192"/>
      <c r="D746" s="192"/>
      <c r="E746" s="192"/>
      <c r="F746" s="192"/>
      <c r="G746" s="192"/>
      <c r="H746" s="192"/>
      <c r="I746" s="192"/>
    </row>
    <row r="747" spans="1:9">
      <c r="A747" s="192"/>
      <c r="B747" s="192"/>
      <c r="C747" s="192"/>
      <c r="D747" s="192"/>
      <c r="E747" s="192"/>
      <c r="F747" s="192"/>
      <c r="G747" s="192"/>
      <c r="H747" s="192"/>
      <c r="I747" s="192"/>
    </row>
    <row r="748" spans="1:9">
      <c r="A748" s="192"/>
      <c r="B748" s="192"/>
      <c r="C748" s="192"/>
      <c r="D748" s="192"/>
      <c r="E748" s="192"/>
      <c r="F748" s="192"/>
      <c r="G748" s="192"/>
      <c r="H748" s="192"/>
      <c r="I748" s="192"/>
    </row>
    <row r="749" spans="1:9">
      <c r="A749" s="192"/>
      <c r="B749" s="192"/>
      <c r="C749" s="192"/>
      <c r="D749" s="192"/>
      <c r="E749" s="192"/>
      <c r="F749" s="192"/>
      <c r="G749" s="192"/>
      <c r="H749" s="192"/>
      <c r="I749" s="192"/>
    </row>
    <row r="750" spans="1:9">
      <c r="A750" s="192"/>
      <c r="B750" s="192"/>
      <c r="C750" s="192"/>
      <c r="D750" s="192"/>
      <c r="E750" s="192"/>
      <c r="F750" s="192"/>
      <c r="G750" s="192"/>
      <c r="H750" s="192"/>
      <c r="I750" s="192"/>
    </row>
    <row r="751" spans="1:9">
      <c r="A751" s="192"/>
      <c r="B751" s="192"/>
      <c r="C751" s="192"/>
      <c r="D751" s="192"/>
      <c r="E751" s="192"/>
      <c r="F751" s="192"/>
      <c r="G751" s="192"/>
      <c r="H751" s="192"/>
      <c r="I751" s="192"/>
    </row>
    <row r="752" spans="1:9">
      <c r="A752" s="192"/>
      <c r="B752" s="192"/>
      <c r="C752" s="192"/>
      <c r="D752" s="192"/>
      <c r="E752" s="192"/>
      <c r="F752" s="192"/>
      <c r="G752" s="192"/>
      <c r="H752" s="192"/>
      <c r="I752" s="192"/>
    </row>
    <row r="753" spans="1:9">
      <c r="A753" s="192"/>
      <c r="B753" s="192"/>
      <c r="C753" s="192"/>
      <c r="D753" s="192"/>
      <c r="E753" s="192"/>
      <c r="F753" s="192"/>
      <c r="G753" s="192"/>
      <c r="H753" s="192"/>
      <c r="I753" s="192"/>
    </row>
    <row r="754" spans="1:9">
      <c r="A754" s="192"/>
      <c r="B754" s="192"/>
      <c r="C754" s="192"/>
      <c r="D754" s="192"/>
      <c r="E754" s="192"/>
      <c r="F754" s="192"/>
      <c r="G754" s="192"/>
      <c r="H754" s="192"/>
      <c r="I754" s="192"/>
    </row>
    <row r="755" spans="1:9">
      <c r="A755" s="192"/>
      <c r="B755" s="192"/>
      <c r="C755" s="192"/>
      <c r="D755" s="192"/>
      <c r="E755" s="192"/>
      <c r="F755" s="192"/>
      <c r="G755" s="192"/>
      <c r="H755" s="192"/>
      <c r="I755" s="192"/>
    </row>
    <row r="756" spans="1:9">
      <c r="A756" s="192"/>
      <c r="B756" s="192"/>
      <c r="C756" s="192"/>
      <c r="D756" s="192"/>
      <c r="E756" s="192"/>
      <c r="F756" s="192"/>
      <c r="G756" s="192"/>
      <c r="H756" s="192"/>
      <c r="I756" s="192"/>
    </row>
    <row r="757" spans="1:9">
      <c r="A757" s="192"/>
      <c r="B757" s="192"/>
      <c r="C757" s="192"/>
      <c r="D757" s="192"/>
      <c r="E757" s="192"/>
      <c r="F757" s="192"/>
      <c r="G757" s="192"/>
      <c r="H757" s="192"/>
      <c r="I757" s="192"/>
    </row>
    <row r="758" spans="1:9">
      <c r="A758" s="192"/>
      <c r="B758" s="192"/>
      <c r="C758" s="192"/>
      <c r="D758" s="192"/>
      <c r="E758" s="192"/>
      <c r="F758" s="192"/>
      <c r="G758" s="192"/>
      <c r="H758" s="192"/>
      <c r="I758" s="192"/>
    </row>
    <row r="759" spans="1:9">
      <c r="A759" s="192"/>
      <c r="B759" s="192"/>
      <c r="C759" s="192"/>
      <c r="D759" s="192"/>
      <c r="E759" s="192"/>
      <c r="F759" s="192"/>
      <c r="G759" s="192"/>
      <c r="H759" s="192"/>
      <c r="I759" s="192"/>
    </row>
    <row r="760" spans="1:9">
      <c r="A760" s="192"/>
      <c r="B760" s="192"/>
      <c r="C760" s="192"/>
      <c r="D760" s="192"/>
      <c r="E760" s="192"/>
      <c r="F760" s="192"/>
      <c r="G760" s="192"/>
      <c r="H760" s="192"/>
      <c r="I760" s="192"/>
    </row>
    <row r="761" spans="1:9">
      <c r="A761" s="192"/>
      <c r="B761" s="192"/>
      <c r="C761" s="192"/>
      <c r="D761" s="192"/>
      <c r="E761" s="192"/>
      <c r="F761" s="192"/>
      <c r="G761" s="192"/>
      <c r="H761" s="192"/>
      <c r="I761" s="192"/>
    </row>
    <row r="762" spans="1:9">
      <c r="A762" s="192"/>
      <c r="B762" s="192"/>
      <c r="C762" s="192"/>
      <c r="D762" s="192"/>
      <c r="E762" s="192"/>
      <c r="F762" s="192"/>
      <c r="G762" s="192"/>
      <c r="H762" s="192"/>
      <c r="I762" s="192"/>
    </row>
    <row r="763" spans="1:9">
      <c r="A763" s="192"/>
      <c r="B763" s="192"/>
      <c r="C763" s="192"/>
      <c r="D763" s="192"/>
      <c r="E763" s="192"/>
      <c r="F763" s="192"/>
      <c r="G763" s="192"/>
      <c r="H763" s="192"/>
      <c r="I763" s="192"/>
    </row>
    <row r="764" spans="1:9">
      <c r="A764" s="192"/>
      <c r="B764" s="192"/>
      <c r="C764" s="192"/>
      <c r="D764" s="192"/>
      <c r="E764" s="192"/>
      <c r="F764" s="192"/>
      <c r="G764" s="192"/>
      <c r="H764" s="192"/>
      <c r="I764" s="192"/>
    </row>
    <row r="765" spans="1:9">
      <c r="A765" s="192"/>
      <c r="B765" s="192"/>
      <c r="C765" s="192"/>
      <c r="D765" s="192"/>
      <c r="E765" s="192"/>
      <c r="F765" s="192"/>
      <c r="G765" s="192"/>
      <c r="H765" s="192"/>
      <c r="I765" s="192"/>
    </row>
    <row r="766" spans="1:9">
      <c r="A766" s="192"/>
      <c r="B766" s="192"/>
      <c r="C766" s="192"/>
      <c r="D766" s="192"/>
      <c r="E766" s="192"/>
      <c r="F766" s="192"/>
      <c r="G766" s="192"/>
      <c r="H766" s="192"/>
      <c r="I766" s="192"/>
    </row>
    <row r="767" spans="1:9">
      <c r="A767" s="192"/>
      <c r="B767" s="192"/>
      <c r="C767" s="192"/>
      <c r="D767" s="192"/>
      <c r="E767" s="192"/>
      <c r="F767" s="192"/>
      <c r="G767" s="192"/>
      <c r="H767" s="192"/>
      <c r="I767" s="192"/>
    </row>
    <row r="768" spans="1:9">
      <c r="A768" s="192"/>
      <c r="B768" s="192"/>
      <c r="C768" s="192"/>
      <c r="D768" s="192"/>
      <c r="E768" s="192"/>
      <c r="F768" s="192"/>
      <c r="G768" s="192"/>
      <c r="H768" s="192"/>
      <c r="I768" s="192"/>
    </row>
    <row r="769" spans="1:9">
      <c r="A769" s="192"/>
      <c r="B769" s="192"/>
      <c r="C769" s="192"/>
      <c r="D769" s="192"/>
      <c r="E769" s="192"/>
      <c r="F769" s="192"/>
      <c r="G769" s="192"/>
      <c r="H769" s="192"/>
      <c r="I769" s="192"/>
    </row>
    <row r="770" spans="1:9">
      <c r="A770" s="192"/>
      <c r="B770" s="192"/>
      <c r="C770" s="192"/>
      <c r="D770" s="192"/>
      <c r="E770" s="192"/>
      <c r="F770" s="192"/>
      <c r="G770" s="192"/>
      <c r="H770" s="192"/>
      <c r="I770" s="192"/>
    </row>
    <row r="771" spans="1:9">
      <c r="A771" s="192"/>
      <c r="B771" s="192"/>
      <c r="C771" s="192"/>
      <c r="D771" s="192"/>
      <c r="E771" s="192"/>
      <c r="F771" s="192"/>
      <c r="G771" s="192"/>
      <c r="H771" s="192"/>
      <c r="I771" s="192"/>
    </row>
    <row r="772" spans="1:9">
      <c r="A772" s="192"/>
      <c r="B772" s="192"/>
      <c r="C772" s="192"/>
      <c r="D772" s="192"/>
      <c r="E772" s="192"/>
      <c r="F772" s="192"/>
      <c r="G772" s="192"/>
      <c r="H772" s="192"/>
      <c r="I772" s="192"/>
    </row>
    <row r="773" spans="1:9">
      <c r="A773" s="192"/>
      <c r="B773" s="192"/>
      <c r="C773" s="192"/>
      <c r="D773" s="192"/>
      <c r="E773" s="192"/>
      <c r="F773" s="192"/>
      <c r="G773" s="192"/>
      <c r="H773" s="192"/>
      <c r="I773" s="192"/>
    </row>
    <row r="774" spans="1:9">
      <c r="A774" s="192"/>
      <c r="B774" s="192"/>
      <c r="C774" s="192"/>
      <c r="D774" s="192"/>
      <c r="E774" s="192"/>
      <c r="F774" s="192"/>
      <c r="G774" s="192"/>
      <c r="H774" s="192"/>
      <c r="I774" s="192"/>
    </row>
    <row r="775" spans="1:9">
      <c r="A775" s="192"/>
      <c r="B775" s="192"/>
      <c r="C775" s="192"/>
      <c r="D775" s="192"/>
      <c r="E775" s="192"/>
      <c r="F775" s="192"/>
      <c r="G775" s="192"/>
      <c r="H775" s="192"/>
      <c r="I775" s="192"/>
    </row>
    <row r="776" spans="1:9">
      <c r="A776" s="192"/>
      <c r="B776" s="192"/>
      <c r="C776" s="192"/>
      <c r="D776" s="192"/>
      <c r="E776" s="192"/>
      <c r="F776" s="192"/>
      <c r="G776" s="192"/>
      <c r="H776" s="192"/>
      <c r="I776" s="192"/>
    </row>
    <row r="777" spans="1:9">
      <c r="A777" s="192"/>
      <c r="B777" s="192"/>
      <c r="C777" s="192"/>
      <c r="D777" s="192"/>
      <c r="E777" s="192"/>
      <c r="F777" s="192"/>
      <c r="G777" s="192"/>
      <c r="H777" s="192"/>
      <c r="I777" s="192"/>
    </row>
    <row r="778" spans="1:9">
      <c r="A778" s="192"/>
      <c r="B778" s="192"/>
      <c r="C778" s="192"/>
      <c r="D778" s="192"/>
      <c r="E778" s="192"/>
      <c r="F778" s="192"/>
      <c r="G778" s="192"/>
      <c r="H778" s="192"/>
      <c r="I778" s="192"/>
    </row>
    <row r="779" spans="1:9">
      <c r="A779" s="192"/>
      <c r="B779" s="192"/>
      <c r="C779" s="192"/>
      <c r="D779" s="192"/>
      <c r="E779" s="192"/>
      <c r="F779" s="192"/>
      <c r="G779" s="192"/>
      <c r="H779" s="192"/>
      <c r="I779" s="192"/>
    </row>
    <row r="780" spans="1:9">
      <c r="A780" s="192"/>
      <c r="B780" s="192"/>
      <c r="C780" s="192"/>
      <c r="D780" s="192"/>
      <c r="E780" s="192"/>
      <c r="F780" s="192"/>
      <c r="G780" s="192"/>
      <c r="H780" s="192"/>
      <c r="I780" s="192"/>
    </row>
    <row r="781" spans="1:9">
      <c r="A781" s="192"/>
      <c r="B781" s="192"/>
      <c r="C781" s="192"/>
      <c r="D781" s="192"/>
      <c r="E781" s="192"/>
      <c r="F781" s="192"/>
      <c r="G781" s="192"/>
      <c r="H781" s="192"/>
      <c r="I781" s="192"/>
    </row>
    <row r="782" spans="1:9">
      <c r="A782" s="192"/>
      <c r="B782" s="192"/>
      <c r="C782" s="192"/>
      <c r="D782" s="192"/>
      <c r="E782" s="192"/>
      <c r="F782" s="192"/>
      <c r="G782" s="192"/>
      <c r="H782" s="192"/>
      <c r="I782" s="192"/>
    </row>
    <row r="783" spans="1:9">
      <c r="A783" s="192"/>
      <c r="B783" s="192"/>
      <c r="C783" s="192"/>
      <c r="D783" s="192"/>
      <c r="E783" s="192"/>
      <c r="F783" s="192"/>
      <c r="G783" s="192"/>
      <c r="H783" s="192"/>
      <c r="I783" s="192"/>
    </row>
    <row r="784" spans="1:9">
      <c r="A784" s="192"/>
      <c r="B784" s="192"/>
      <c r="C784" s="192"/>
      <c r="D784" s="192"/>
      <c r="E784" s="192"/>
      <c r="F784" s="192"/>
      <c r="G784" s="192"/>
      <c r="H784" s="192"/>
      <c r="I784" s="192"/>
    </row>
    <row r="785" spans="1:9">
      <c r="A785" s="192"/>
      <c r="B785" s="192"/>
      <c r="C785" s="192"/>
      <c r="D785" s="192"/>
      <c r="E785" s="192"/>
      <c r="F785" s="192"/>
      <c r="G785" s="192"/>
      <c r="H785" s="192"/>
      <c r="I785" s="192"/>
    </row>
    <row r="786" spans="1:9">
      <c r="A786" s="192"/>
      <c r="B786" s="192"/>
      <c r="C786" s="192"/>
      <c r="D786" s="192"/>
      <c r="E786" s="192"/>
      <c r="F786" s="192"/>
      <c r="G786" s="192"/>
      <c r="H786" s="192"/>
      <c r="I786" s="192"/>
    </row>
    <row r="787" spans="1:9">
      <c r="A787" s="192"/>
      <c r="B787" s="192"/>
      <c r="C787" s="192"/>
      <c r="D787" s="192"/>
      <c r="E787" s="192"/>
      <c r="F787" s="192"/>
      <c r="G787" s="192"/>
      <c r="H787" s="192"/>
      <c r="I787" s="192"/>
    </row>
    <row r="788" spans="1:9">
      <c r="A788" s="192"/>
      <c r="B788" s="192"/>
      <c r="C788" s="192"/>
      <c r="D788" s="192"/>
      <c r="E788" s="192"/>
      <c r="F788" s="192"/>
      <c r="G788" s="192"/>
      <c r="H788" s="192"/>
      <c r="I788" s="192"/>
    </row>
    <row r="789" spans="1:9">
      <c r="A789" s="192"/>
      <c r="B789" s="192"/>
      <c r="C789" s="192"/>
      <c r="D789" s="192"/>
      <c r="E789" s="192"/>
      <c r="F789" s="192"/>
      <c r="G789" s="192"/>
      <c r="H789" s="192"/>
      <c r="I789" s="192"/>
    </row>
    <row r="790" spans="1:9">
      <c r="A790" s="192"/>
      <c r="B790" s="192"/>
      <c r="C790" s="192"/>
      <c r="D790" s="192"/>
      <c r="E790" s="192"/>
      <c r="F790" s="192"/>
      <c r="G790" s="192"/>
      <c r="H790" s="192"/>
      <c r="I790" s="192"/>
    </row>
    <row r="791" spans="1:9">
      <c r="A791" s="192"/>
      <c r="B791" s="192"/>
      <c r="C791" s="192"/>
      <c r="D791" s="192"/>
      <c r="E791" s="192"/>
      <c r="F791" s="192"/>
      <c r="G791" s="192"/>
      <c r="H791" s="192"/>
      <c r="I791" s="192"/>
    </row>
    <row r="792" spans="1:9">
      <c r="A792" s="192"/>
      <c r="B792" s="192"/>
      <c r="C792" s="192"/>
      <c r="D792" s="192"/>
      <c r="E792" s="192"/>
      <c r="F792" s="192"/>
      <c r="G792" s="192"/>
      <c r="H792" s="192"/>
      <c r="I792" s="192"/>
    </row>
    <row r="793" spans="1:9">
      <c r="A793" s="192"/>
      <c r="B793" s="192"/>
      <c r="C793" s="192"/>
      <c r="D793" s="192"/>
      <c r="E793" s="192"/>
      <c r="F793" s="192"/>
      <c r="G793" s="192"/>
      <c r="H793" s="192"/>
      <c r="I793" s="192"/>
    </row>
    <row r="794" spans="1:9">
      <c r="A794" s="192"/>
      <c r="B794" s="192"/>
      <c r="C794" s="192"/>
      <c r="D794" s="192"/>
      <c r="E794" s="192"/>
      <c r="F794" s="192"/>
      <c r="G794" s="192"/>
      <c r="H794" s="192"/>
      <c r="I794" s="192"/>
    </row>
    <row r="795" spans="1:9">
      <c r="A795" s="192"/>
      <c r="B795" s="192"/>
      <c r="C795" s="192"/>
      <c r="D795" s="192"/>
      <c r="E795" s="192"/>
      <c r="F795" s="192"/>
      <c r="G795" s="192"/>
      <c r="H795" s="192"/>
      <c r="I795" s="192"/>
    </row>
    <row r="796" spans="1:9">
      <c r="A796" s="192"/>
      <c r="B796" s="192"/>
      <c r="C796" s="192"/>
      <c r="D796" s="192"/>
      <c r="E796" s="192"/>
      <c r="F796" s="192"/>
      <c r="G796" s="192"/>
      <c r="H796" s="192"/>
      <c r="I796" s="192"/>
    </row>
    <row r="797" spans="1:9">
      <c r="A797" s="192"/>
      <c r="B797" s="192"/>
      <c r="C797" s="192"/>
      <c r="D797" s="192"/>
      <c r="E797" s="192"/>
      <c r="F797" s="192"/>
      <c r="G797" s="192"/>
      <c r="H797" s="192"/>
      <c r="I797" s="192"/>
    </row>
    <row r="798" spans="1:9">
      <c r="A798" s="192"/>
      <c r="B798" s="192"/>
      <c r="C798" s="192"/>
      <c r="D798" s="192"/>
      <c r="E798" s="192"/>
      <c r="F798" s="192"/>
      <c r="G798" s="192"/>
      <c r="H798" s="192"/>
      <c r="I798" s="192"/>
    </row>
    <row r="799" spans="1:9">
      <c r="A799" s="192"/>
      <c r="B799" s="192"/>
      <c r="C799" s="192"/>
      <c r="D799" s="192"/>
      <c r="E799" s="192"/>
      <c r="F799" s="192"/>
      <c r="G799" s="192"/>
      <c r="H799" s="192"/>
      <c r="I799" s="192"/>
    </row>
    <row r="800" spans="1:9">
      <c r="A800" s="192"/>
      <c r="B800" s="192"/>
      <c r="C800" s="192"/>
      <c r="D800" s="192"/>
      <c r="E800" s="192"/>
      <c r="F800" s="192"/>
      <c r="G800" s="192"/>
      <c r="H800" s="192"/>
      <c r="I800" s="192"/>
    </row>
    <row r="801" spans="1:9">
      <c r="A801" s="192"/>
      <c r="B801" s="192"/>
      <c r="C801" s="192"/>
      <c r="D801" s="192"/>
      <c r="E801" s="192"/>
      <c r="F801" s="192"/>
      <c r="G801" s="192"/>
      <c r="H801" s="192"/>
      <c r="I801" s="192"/>
    </row>
    <row r="802" spans="1:9">
      <c r="A802" s="192"/>
      <c r="B802" s="192"/>
      <c r="C802" s="192"/>
      <c r="D802" s="192"/>
      <c r="E802" s="192"/>
      <c r="F802" s="192"/>
      <c r="G802" s="192"/>
      <c r="H802" s="192"/>
      <c r="I802" s="192"/>
    </row>
    <row r="803" spans="1:9">
      <c r="A803" s="192"/>
      <c r="B803" s="192"/>
      <c r="C803" s="192"/>
      <c r="D803" s="192"/>
      <c r="E803" s="192"/>
      <c r="F803" s="192"/>
      <c r="G803" s="192"/>
      <c r="H803" s="192"/>
      <c r="I803" s="192"/>
    </row>
    <row r="804" spans="1:9">
      <c r="A804" s="192"/>
      <c r="B804" s="192"/>
      <c r="C804" s="192"/>
      <c r="D804" s="192"/>
      <c r="E804" s="192"/>
      <c r="F804" s="192"/>
      <c r="G804" s="192"/>
      <c r="H804" s="192"/>
      <c r="I804" s="192"/>
    </row>
    <row r="805" spans="1:9">
      <c r="A805" s="192"/>
      <c r="B805" s="192"/>
      <c r="C805" s="192"/>
      <c r="D805" s="192"/>
      <c r="E805" s="192"/>
      <c r="F805" s="192"/>
      <c r="G805" s="192"/>
      <c r="H805" s="192"/>
      <c r="I805" s="192"/>
    </row>
    <row r="806" spans="1:9">
      <c r="A806" s="192"/>
      <c r="B806" s="192"/>
      <c r="C806" s="192"/>
      <c r="D806" s="192"/>
      <c r="E806" s="192"/>
      <c r="F806" s="192"/>
      <c r="G806" s="192"/>
      <c r="H806" s="192"/>
      <c r="I806" s="192"/>
    </row>
    <row r="807" spans="1:9">
      <c r="A807" s="192"/>
      <c r="B807" s="192"/>
      <c r="C807" s="192"/>
      <c r="D807" s="192"/>
      <c r="E807" s="192"/>
      <c r="F807" s="192"/>
      <c r="G807" s="192"/>
      <c r="H807" s="192"/>
      <c r="I807" s="192"/>
    </row>
    <row r="808" spans="1:9">
      <c r="A808" s="192"/>
      <c r="B808" s="192"/>
      <c r="C808" s="192"/>
      <c r="D808" s="192"/>
      <c r="E808" s="192"/>
      <c r="F808" s="192"/>
      <c r="G808" s="192"/>
      <c r="H808" s="192"/>
      <c r="I808" s="192"/>
    </row>
    <row r="809" spans="1:9">
      <c r="A809" s="192"/>
      <c r="B809" s="192"/>
      <c r="C809" s="192"/>
      <c r="D809" s="192"/>
      <c r="E809" s="192"/>
      <c r="F809" s="192"/>
      <c r="G809" s="192"/>
      <c r="H809" s="192"/>
      <c r="I809" s="192"/>
    </row>
    <row r="810" spans="1:9">
      <c r="A810" s="192"/>
      <c r="B810" s="192"/>
      <c r="C810" s="192"/>
      <c r="D810" s="192"/>
      <c r="E810" s="192"/>
      <c r="F810" s="192"/>
      <c r="G810" s="192"/>
      <c r="H810" s="192"/>
      <c r="I810" s="192"/>
    </row>
    <row r="811" spans="1:9">
      <c r="A811" s="192"/>
      <c r="B811" s="192"/>
      <c r="C811" s="192"/>
      <c r="D811" s="192"/>
      <c r="E811" s="192"/>
      <c r="F811" s="192"/>
      <c r="G811" s="192"/>
      <c r="H811" s="192"/>
      <c r="I811" s="192"/>
    </row>
    <row r="812" spans="1:9">
      <c r="A812" s="192"/>
      <c r="B812" s="192"/>
      <c r="C812" s="192"/>
      <c r="D812" s="192"/>
      <c r="E812" s="192"/>
      <c r="F812" s="192"/>
      <c r="G812" s="192"/>
      <c r="H812" s="192"/>
      <c r="I812" s="192"/>
    </row>
    <row r="813" spans="1:9">
      <c r="A813" s="192"/>
      <c r="B813" s="192"/>
      <c r="C813" s="192"/>
      <c r="D813" s="192"/>
      <c r="E813" s="192"/>
      <c r="F813" s="192"/>
      <c r="G813" s="192"/>
      <c r="H813" s="192"/>
      <c r="I813" s="192"/>
    </row>
    <row r="814" spans="1:9">
      <c r="A814" s="192"/>
      <c r="B814" s="192"/>
      <c r="C814" s="192"/>
      <c r="D814" s="192"/>
      <c r="E814" s="192"/>
      <c r="F814" s="192"/>
      <c r="G814" s="192"/>
      <c r="H814" s="192"/>
      <c r="I814" s="192"/>
    </row>
    <row r="815" spans="1:9">
      <c r="A815" s="192"/>
      <c r="B815" s="192"/>
      <c r="C815" s="192"/>
      <c r="D815" s="192"/>
      <c r="E815" s="192"/>
      <c r="F815" s="192"/>
      <c r="G815" s="192"/>
      <c r="H815" s="192"/>
      <c r="I815" s="192"/>
    </row>
    <row r="816" spans="1:9">
      <c r="A816" s="192"/>
      <c r="B816" s="192"/>
      <c r="C816" s="192"/>
      <c r="D816" s="192"/>
      <c r="E816" s="192"/>
      <c r="F816" s="192"/>
      <c r="G816" s="192"/>
      <c r="H816" s="192"/>
      <c r="I816" s="192"/>
    </row>
    <row r="817" spans="1:9">
      <c r="A817" s="192"/>
      <c r="B817" s="192"/>
      <c r="C817" s="192"/>
      <c r="D817" s="192"/>
      <c r="E817" s="192"/>
      <c r="F817" s="192"/>
      <c r="G817" s="192"/>
      <c r="H817" s="192"/>
      <c r="I817" s="192"/>
    </row>
    <row r="818" spans="1:9">
      <c r="A818" s="192"/>
      <c r="B818" s="192"/>
      <c r="C818" s="192"/>
      <c r="D818" s="192"/>
      <c r="E818" s="192"/>
      <c r="F818" s="192"/>
      <c r="G818" s="192"/>
      <c r="H818" s="192"/>
      <c r="I818" s="192"/>
    </row>
    <row r="819" spans="1:9">
      <c r="A819" s="192"/>
      <c r="B819" s="192"/>
      <c r="C819" s="192"/>
      <c r="D819" s="192"/>
      <c r="E819" s="192"/>
      <c r="F819" s="192"/>
      <c r="G819" s="192"/>
      <c r="H819" s="192"/>
      <c r="I819" s="192"/>
    </row>
    <row r="820" spans="1:9">
      <c r="A820" s="192"/>
      <c r="B820" s="192"/>
      <c r="C820" s="192"/>
      <c r="D820" s="192"/>
      <c r="E820" s="192"/>
      <c r="F820" s="192"/>
      <c r="G820" s="192"/>
      <c r="H820" s="192"/>
      <c r="I820" s="192"/>
    </row>
    <row r="821" spans="1:9">
      <c r="A821" s="192"/>
      <c r="B821" s="192"/>
      <c r="C821" s="192"/>
      <c r="D821" s="192"/>
      <c r="E821" s="192"/>
      <c r="F821" s="192"/>
      <c r="G821" s="192"/>
      <c r="H821" s="192"/>
      <c r="I821" s="192"/>
    </row>
    <row r="822" spans="1:9">
      <c r="A822" s="192"/>
      <c r="B822" s="192"/>
      <c r="C822" s="192"/>
      <c r="D822" s="192"/>
      <c r="E822" s="192"/>
      <c r="F822" s="192"/>
      <c r="G822" s="192"/>
      <c r="H822" s="192"/>
      <c r="I822" s="192"/>
    </row>
    <row r="823" spans="1:9">
      <c r="A823" s="192"/>
      <c r="B823" s="192"/>
      <c r="C823" s="192"/>
      <c r="D823" s="192"/>
      <c r="E823" s="192"/>
      <c r="F823" s="192"/>
      <c r="G823" s="192"/>
      <c r="H823" s="192"/>
      <c r="I823" s="192"/>
    </row>
    <row r="824" spans="1:9">
      <c r="A824" s="192"/>
      <c r="B824" s="192"/>
      <c r="C824" s="192"/>
      <c r="D824" s="192"/>
      <c r="E824" s="192"/>
      <c r="F824" s="192"/>
      <c r="G824" s="192"/>
      <c r="H824" s="192"/>
      <c r="I824" s="192"/>
    </row>
    <row r="825" spans="1:9">
      <c r="A825" s="192"/>
      <c r="B825" s="192"/>
      <c r="C825" s="192"/>
      <c r="D825" s="192"/>
      <c r="E825" s="192"/>
      <c r="F825" s="192"/>
      <c r="G825" s="192"/>
      <c r="H825" s="192"/>
      <c r="I825" s="192"/>
    </row>
    <row r="826" spans="1:9">
      <c r="A826" s="192"/>
      <c r="B826" s="192"/>
      <c r="C826" s="192"/>
      <c r="D826" s="192"/>
      <c r="E826" s="192"/>
      <c r="F826" s="192"/>
      <c r="G826" s="192"/>
      <c r="H826" s="192"/>
      <c r="I826" s="192"/>
    </row>
    <row r="827" spans="1:9">
      <c r="A827" s="192"/>
      <c r="B827" s="192"/>
      <c r="C827" s="192"/>
      <c r="D827" s="192"/>
      <c r="E827" s="192"/>
      <c r="F827" s="192"/>
      <c r="G827" s="192"/>
      <c r="H827" s="192"/>
      <c r="I827" s="192"/>
    </row>
    <row r="828" spans="1:9">
      <c r="A828" s="192"/>
      <c r="B828" s="192"/>
      <c r="C828" s="192"/>
      <c r="D828" s="192"/>
      <c r="E828" s="192"/>
      <c r="F828" s="192"/>
      <c r="G828" s="192"/>
      <c r="H828" s="192"/>
      <c r="I828" s="192"/>
    </row>
    <row r="829" spans="1:9">
      <c r="A829" s="192"/>
      <c r="B829" s="192"/>
      <c r="C829" s="192"/>
      <c r="D829" s="192"/>
      <c r="E829" s="192"/>
      <c r="F829" s="192"/>
      <c r="G829" s="192"/>
      <c r="H829" s="192"/>
      <c r="I829" s="192"/>
    </row>
    <row r="830" spans="1:9">
      <c r="A830" s="192"/>
      <c r="B830" s="192"/>
      <c r="C830" s="192"/>
      <c r="D830" s="192"/>
      <c r="E830" s="192"/>
      <c r="F830" s="192"/>
      <c r="G830" s="192"/>
      <c r="H830" s="192"/>
      <c r="I830" s="192"/>
    </row>
    <row r="831" spans="1:9">
      <c r="A831" s="192"/>
      <c r="B831" s="192"/>
      <c r="C831" s="192"/>
      <c r="D831" s="192"/>
      <c r="E831" s="192"/>
      <c r="F831" s="192"/>
      <c r="G831" s="192"/>
      <c r="H831" s="192"/>
      <c r="I831" s="192"/>
    </row>
    <row r="832" spans="1:9">
      <c r="A832" s="192"/>
      <c r="B832" s="192"/>
      <c r="C832" s="192"/>
      <c r="D832" s="192"/>
      <c r="E832" s="192"/>
      <c r="F832" s="192"/>
      <c r="G832" s="192"/>
      <c r="H832" s="192"/>
      <c r="I832" s="192"/>
    </row>
    <row r="833" spans="1:9">
      <c r="A833" s="192"/>
      <c r="B833" s="192"/>
      <c r="C833" s="192"/>
      <c r="D833" s="192"/>
      <c r="E833" s="192"/>
      <c r="F833" s="192"/>
      <c r="G833" s="192"/>
      <c r="H833" s="192"/>
      <c r="I833" s="192"/>
    </row>
    <row r="834" spans="1:9">
      <c r="A834" s="192"/>
      <c r="B834" s="192"/>
      <c r="C834" s="192"/>
      <c r="D834" s="192"/>
      <c r="E834" s="192"/>
      <c r="F834" s="192"/>
      <c r="G834" s="192"/>
      <c r="H834" s="192"/>
      <c r="I834" s="192"/>
    </row>
    <row r="835" spans="1:9">
      <c r="A835" s="192"/>
      <c r="B835" s="192"/>
      <c r="C835" s="192"/>
      <c r="D835" s="192"/>
      <c r="E835" s="192"/>
      <c r="F835" s="192"/>
      <c r="G835" s="192"/>
      <c r="H835" s="192"/>
      <c r="I835" s="192"/>
    </row>
    <row r="836" spans="1:9">
      <c r="A836" s="192"/>
      <c r="B836" s="192"/>
      <c r="C836" s="192"/>
      <c r="D836" s="192"/>
      <c r="E836" s="192"/>
      <c r="F836" s="192"/>
      <c r="G836" s="192"/>
      <c r="H836" s="192"/>
      <c r="I836" s="192"/>
    </row>
    <row r="837" spans="1:9">
      <c r="A837" s="192"/>
      <c r="B837" s="192"/>
      <c r="C837" s="192"/>
      <c r="D837" s="192"/>
      <c r="E837" s="192"/>
      <c r="F837" s="192"/>
      <c r="G837" s="192"/>
      <c r="H837" s="192"/>
      <c r="I837" s="192"/>
    </row>
    <row r="838" spans="1:9">
      <c r="A838" s="192"/>
      <c r="B838" s="192"/>
      <c r="C838" s="192"/>
      <c r="D838" s="192"/>
      <c r="E838" s="192"/>
      <c r="F838" s="192"/>
      <c r="G838" s="192"/>
      <c r="H838" s="192"/>
      <c r="I838" s="192"/>
    </row>
    <row r="839" spans="1:9">
      <c r="A839" s="192"/>
      <c r="B839" s="192"/>
      <c r="C839" s="192"/>
      <c r="D839" s="192"/>
      <c r="E839" s="192"/>
      <c r="F839" s="192"/>
      <c r="G839" s="192"/>
      <c r="H839" s="192"/>
      <c r="I839" s="192"/>
    </row>
    <row r="840" spans="1:9">
      <c r="A840" s="192"/>
      <c r="B840" s="192"/>
      <c r="C840" s="192"/>
      <c r="D840" s="192"/>
      <c r="E840" s="192"/>
      <c r="F840" s="192"/>
      <c r="G840" s="192"/>
      <c r="H840" s="192"/>
      <c r="I840" s="192"/>
    </row>
    <row r="841" spans="1:9">
      <c r="A841" s="192"/>
      <c r="B841" s="192"/>
      <c r="C841" s="192"/>
      <c r="D841" s="192"/>
      <c r="E841" s="192"/>
      <c r="F841" s="192"/>
      <c r="G841" s="192"/>
      <c r="H841" s="192"/>
      <c r="I841" s="192"/>
    </row>
    <row r="842" spans="1:9">
      <c r="A842" s="192"/>
      <c r="B842" s="192"/>
      <c r="C842" s="192"/>
      <c r="D842" s="192"/>
      <c r="E842" s="192"/>
      <c r="F842" s="192"/>
      <c r="G842" s="192"/>
      <c r="H842" s="192"/>
      <c r="I842" s="192"/>
    </row>
    <row r="843" spans="1:9">
      <c r="A843" s="192"/>
      <c r="B843" s="192"/>
      <c r="C843" s="192"/>
      <c r="D843" s="192"/>
      <c r="E843" s="192"/>
      <c r="F843" s="192"/>
      <c r="G843" s="192"/>
      <c r="H843" s="192"/>
      <c r="I843" s="192"/>
    </row>
    <row r="844" spans="1:9">
      <c r="A844" s="192"/>
      <c r="B844" s="192"/>
      <c r="C844" s="192"/>
      <c r="D844" s="192"/>
      <c r="E844" s="192"/>
      <c r="F844" s="192"/>
      <c r="G844" s="192"/>
      <c r="H844" s="192"/>
      <c r="I844" s="192"/>
    </row>
    <row r="845" spans="1:9">
      <c r="A845" s="192"/>
      <c r="B845" s="192"/>
      <c r="C845" s="192"/>
      <c r="D845" s="192"/>
      <c r="E845" s="192"/>
      <c r="F845" s="192"/>
      <c r="G845" s="192"/>
      <c r="H845" s="192"/>
      <c r="I845" s="192"/>
    </row>
    <row r="846" spans="1:9">
      <c r="A846" s="192"/>
      <c r="B846" s="192"/>
      <c r="C846" s="192"/>
      <c r="D846" s="192"/>
      <c r="E846" s="192"/>
      <c r="F846" s="192"/>
      <c r="G846" s="192"/>
      <c r="H846" s="192"/>
      <c r="I846" s="192"/>
    </row>
    <row r="847" spans="1:9">
      <c r="A847" s="192"/>
      <c r="B847" s="192"/>
      <c r="C847" s="192"/>
      <c r="D847" s="192"/>
      <c r="E847" s="192"/>
      <c r="F847" s="192"/>
      <c r="G847" s="192"/>
      <c r="H847" s="192"/>
      <c r="I847" s="192"/>
    </row>
    <row r="848" spans="1:9">
      <c r="A848" s="192"/>
      <c r="B848" s="192"/>
      <c r="C848" s="192"/>
      <c r="D848" s="192"/>
      <c r="E848" s="192"/>
      <c r="F848" s="192"/>
      <c r="G848" s="192"/>
      <c r="H848" s="192"/>
      <c r="I848" s="192"/>
    </row>
    <row r="849" spans="1:9">
      <c r="A849" s="192"/>
      <c r="B849" s="192"/>
      <c r="C849" s="192"/>
      <c r="D849" s="192"/>
      <c r="E849" s="192"/>
      <c r="F849" s="192"/>
      <c r="G849" s="192"/>
      <c r="H849" s="192"/>
      <c r="I849" s="192"/>
    </row>
    <row r="850" spans="1:9">
      <c r="A850" s="192"/>
      <c r="B850" s="192"/>
      <c r="C850" s="192"/>
      <c r="D850" s="192"/>
      <c r="E850" s="192"/>
      <c r="F850" s="192"/>
      <c r="G850" s="192"/>
      <c r="H850" s="192"/>
      <c r="I850" s="192"/>
    </row>
    <row r="851" spans="1:9">
      <c r="A851" s="192"/>
      <c r="B851" s="192"/>
      <c r="C851" s="192"/>
      <c r="D851" s="192"/>
      <c r="E851" s="192"/>
      <c r="F851" s="192"/>
      <c r="G851" s="192"/>
      <c r="H851" s="192"/>
      <c r="I851" s="192"/>
    </row>
    <row r="852" spans="1:9">
      <c r="A852" s="192"/>
      <c r="B852" s="192"/>
      <c r="C852" s="192"/>
      <c r="D852" s="192"/>
      <c r="E852" s="192"/>
      <c r="F852" s="192"/>
      <c r="G852" s="192"/>
      <c r="H852" s="192"/>
      <c r="I852" s="192"/>
    </row>
    <row r="853" spans="1:9">
      <c r="A853" s="192"/>
      <c r="B853" s="192"/>
      <c r="C853" s="192"/>
      <c r="D853" s="192"/>
      <c r="E853" s="192"/>
      <c r="F853" s="192"/>
      <c r="G853" s="192"/>
      <c r="H853" s="192"/>
      <c r="I853" s="192"/>
    </row>
    <row r="854" spans="1:9">
      <c r="A854" s="192"/>
      <c r="B854" s="192"/>
      <c r="C854" s="192"/>
      <c r="D854" s="192"/>
      <c r="E854" s="192"/>
      <c r="F854" s="192"/>
      <c r="G854" s="192"/>
      <c r="H854" s="192"/>
      <c r="I854" s="192"/>
    </row>
    <row r="855" spans="1:9">
      <c r="A855" s="192"/>
      <c r="B855" s="192"/>
      <c r="C855" s="192"/>
      <c r="D855" s="192"/>
      <c r="E855" s="192"/>
      <c r="F855" s="192"/>
      <c r="G855" s="192"/>
      <c r="H855" s="192"/>
      <c r="I855" s="192"/>
    </row>
    <row r="856" spans="1:9">
      <c r="A856" s="192"/>
      <c r="B856" s="192"/>
      <c r="C856" s="192"/>
      <c r="D856" s="192"/>
      <c r="E856" s="192"/>
      <c r="F856" s="192"/>
      <c r="G856" s="192"/>
      <c r="H856" s="192"/>
      <c r="I856" s="192"/>
    </row>
    <row r="857" spans="1:9">
      <c r="A857" s="192"/>
      <c r="B857" s="192"/>
      <c r="C857" s="192"/>
      <c r="D857" s="192"/>
      <c r="E857" s="192"/>
      <c r="F857" s="192"/>
      <c r="G857" s="192"/>
      <c r="H857" s="192"/>
      <c r="I857" s="192"/>
    </row>
    <row r="858" spans="1:9">
      <c r="A858" s="192"/>
      <c r="B858" s="192"/>
      <c r="C858" s="192"/>
      <c r="D858" s="192"/>
      <c r="E858" s="192"/>
      <c r="F858" s="192"/>
      <c r="G858" s="192"/>
      <c r="H858" s="192"/>
      <c r="I858" s="192"/>
    </row>
    <row r="859" spans="1:9">
      <c r="A859" s="192"/>
      <c r="B859" s="192"/>
      <c r="C859" s="192"/>
      <c r="D859" s="192"/>
      <c r="E859" s="192"/>
      <c r="F859" s="192"/>
      <c r="G859" s="192"/>
      <c r="H859" s="192"/>
      <c r="I859" s="192"/>
    </row>
    <row r="860" spans="1:9">
      <c r="A860" s="192"/>
      <c r="B860" s="192"/>
      <c r="C860" s="192"/>
      <c r="D860" s="192"/>
      <c r="E860" s="192"/>
      <c r="F860" s="192"/>
      <c r="G860" s="192"/>
      <c r="H860" s="192"/>
      <c r="I860" s="192"/>
    </row>
    <row r="861" spans="1:9">
      <c r="A861" s="192"/>
      <c r="B861" s="192"/>
      <c r="C861" s="192"/>
      <c r="D861" s="192"/>
      <c r="E861" s="192"/>
      <c r="F861" s="192"/>
      <c r="G861" s="192"/>
      <c r="H861" s="192"/>
      <c r="I861" s="192"/>
    </row>
    <row r="862" spans="1:9">
      <c r="A862" s="192"/>
      <c r="B862" s="192"/>
      <c r="C862" s="192"/>
      <c r="D862" s="192"/>
      <c r="E862" s="192"/>
      <c r="F862" s="192"/>
      <c r="G862" s="192"/>
      <c r="H862" s="192"/>
      <c r="I862" s="192"/>
    </row>
    <row r="863" spans="1:9">
      <c r="A863" s="192"/>
      <c r="B863" s="192"/>
      <c r="C863" s="192"/>
      <c r="D863" s="192"/>
      <c r="E863" s="192"/>
      <c r="F863" s="192"/>
      <c r="G863" s="192"/>
      <c r="H863" s="192"/>
      <c r="I863" s="192"/>
    </row>
    <row r="864" spans="1:9">
      <c r="A864" s="192"/>
      <c r="B864" s="192"/>
      <c r="C864" s="192"/>
      <c r="D864" s="192"/>
      <c r="E864" s="192"/>
      <c r="F864" s="192"/>
      <c r="G864" s="192"/>
      <c r="H864" s="192"/>
      <c r="I864" s="192"/>
    </row>
    <row r="865" spans="1:9">
      <c r="A865" s="192"/>
      <c r="B865" s="192"/>
      <c r="C865" s="192"/>
      <c r="D865" s="192"/>
      <c r="E865" s="192"/>
      <c r="F865" s="192"/>
      <c r="G865" s="192"/>
      <c r="H865" s="192"/>
      <c r="I865" s="192"/>
    </row>
    <row r="866" spans="1:9">
      <c r="A866" s="192"/>
      <c r="B866" s="192"/>
      <c r="C866" s="192"/>
      <c r="D866" s="192"/>
      <c r="E866" s="192"/>
      <c r="F866" s="192"/>
      <c r="G866" s="192"/>
      <c r="H866" s="192"/>
      <c r="I866" s="192"/>
    </row>
    <row r="867" spans="1:9">
      <c r="A867" s="192"/>
      <c r="B867" s="192"/>
      <c r="C867" s="192"/>
      <c r="D867" s="192"/>
      <c r="E867" s="192"/>
      <c r="F867" s="192"/>
      <c r="G867" s="192"/>
      <c r="H867" s="192"/>
      <c r="I867" s="192"/>
    </row>
    <row r="868" spans="1:9">
      <c r="A868" s="192"/>
      <c r="B868" s="192"/>
      <c r="C868" s="192"/>
      <c r="D868" s="192"/>
      <c r="E868" s="192"/>
      <c r="F868" s="192"/>
      <c r="G868" s="192"/>
      <c r="H868" s="192"/>
      <c r="I868" s="192"/>
    </row>
    <row r="869" spans="1:9">
      <c r="A869" s="192"/>
      <c r="B869" s="192"/>
      <c r="C869" s="192"/>
      <c r="D869" s="192"/>
      <c r="E869" s="192"/>
      <c r="F869" s="192"/>
      <c r="G869" s="192"/>
      <c r="H869" s="192"/>
      <c r="I869" s="192"/>
    </row>
    <row r="870" spans="1:9">
      <c r="A870" s="192"/>
      <c r="B870" s="192"/>
      <c r="C870" s="192"/>
      <c r="D870" s="192"/>
      <c r="E870" s="192"/>
      <c r="F870" s="192"/>
      <c r="G870" s="192"/>
      <c r="H870" s="192"/>
      <c r="I870" s="192"/>
    </row>
    <row r="871" spans="1:9">
      <c r="A871" s="192"/>
      <c r="B871" s="192"/>
      <c r="C871" s="192"/>
      <c r="D871" s="192"/>
      <c r="E871" s="192"/>
      <c r="F871" s="192"/>
      <c r="G871" s="192"/>
      <c r="H871" s="192"/>
      <c r="I871" s="192"/>
    </row>
    <row r="872" spans="1:9">
      <c r="A872" s="192"/>
      <c r="B872" s="192"/>
      <c r="C872" s="192"/>
      <c r="D872" s="192"/>
      <c r="E872" s="192"/>
      <c r="F872" s="192"/>
      <c r="G872" s="192"/>
      <c r="H872" s="192"/>
      <c r="I872" s="192"/>
    </row>
    <row r="873" spans="1:9">
      <c r="A873" s="192"/>
      <c r="B873" s="192"/>
      <c r="C873" s="192"/>
      <c r="D873" s="192"/>
      <c r="E873" s="192"/>
      <c r="F873" s="192"/>
      <c r="G873" s="192"/>
      <c r="H873" s="192"/>
      <c r="I873" s="192"/>
    </row>
    <row r="874" spans="1:9">
      <c r="A874" s="192"/>
      <c r="B874" s="192"/>
      <c r="C874" s="192"/>
      <c r="D874" s="192"/>
      <c r="E874" s="192"/>
      <c r="F874" s="192"/>
      <c r="G874" s="192"/>
      <c r="H874" s="192"/>
      <c r="I874" s="192"/>
    </row>
    <row r="875" spans="1:9">
      <c r="A875" s="192"/>
      <c r="B875" s="192"/>
      <c r="C875" s="192"/>
      <c r="D875" s="192"/>
      <c r="E875" s="192"/>
      <c r="F875" s="192"/>
      <c r="G875" s="192"/>
      <c r="H875" s="192"/>
      <c r="I875" s="192"/>
    </row>
    <row r="876" spans="1:9">
      <c r="A876" s="192"/>
      <c r="B876" s="192"/>
      <c r="C876" s="192"/>
      <c r="D876" s="192"/>
      <c r="E876" s="192"/>
      <c r="F876" s="192"/>
      <c r="G876" s="192"/>
      <c r="H876" s="192"/>
      <c r="I876" s="192"/>
    </row>
    <row r="877" spans="1:9">
      <c r="A877" s="192"/>
      <c r="B877" s="192"/>
      <c r="C877" s="192"/>
      <c r="D877" s="192"/>
      <c r="E877" s="192"/>
      <c r="F877" s="192"/>
      <c r="G877" s="192"/>
      <c r="H877" s="192"/>
      <c r="I877" s="192"/>
    </row>
    <row r="878" spans="1:9">
      <c r="A878" s="192"/>
      <c r="B878" s="192"/>
      <c r="C878" s="192"/>
      <c r="D878" s="192"/>
      <c r="E878" s="192"/>
      <c r="F878" s="192"/>
      <c r="G878" s="192"/>
      <c r="H878" s="192"/>
      <c r="I878" s="192"/>
    </row>
    <row r="879" spans="1:9">
      <c r="A879" s="192"/>
      <c r="B879" s="192"/>
      <c r="C879" s="192"/>
      <c r="D879" s="192"/>
      <c r="E879" s="192"/>
      <c r="F879" s="192"/>
      <c r="G879" s="192"/>
      <c r="H879" s="192"/>
      <c r="I879" s="192"/>
    </row>
    <row r="880" spans="1:9">
      <c r="A880" s="192"/>
      <c r="B880" s="192"/>
      <c r="C880" s="192"/>
      <c r="D880" s="192"/>
      <c r="E880" s="192"/>
      <c r="F880" s="192"/>
      <c r="G880" s="192"/>
      <c r="H880" s="192"/>
      <c r="I880" s="192"/>
    </row>
    <row r="881" spans="1:9">
      <c r="A881" s="192"/>
      <c r="B881" s="192"/>
      <c r="C881" s="192"/>
      <c r="D881" s="192"/>
      <c r="E881" s="192"/>
      <c r="F881" s="192"/>
      <c r="G881" s="192"/>
      <c r="H881" s="192"/>
      <c r="I881" s="192"/>
    </row>
    <row r="882" spans="1:9">
      <c r="A882" s="192"/>
      <c r="B882" s="192"/>
      <c r="C882" s="192"/>
      <c r="D882" s="192"/>
      <c r="E882" s="192"/>
      <c r="F882" s="192"/>
      <c r="G882" s="192"/>
      <c r="H882" s="192"/>
      <c r="I882" s="192"/>
    </row>
    <row r="883" spans="1:9">
      <c r="A883" s="192"/>
      <c r="B883" s="192"/>
      <c r="C883" s="192"/>
      <c r="D883" s="192"/>
      <c r="E883" s="192"/>
      <c r="F883" s="192"/>
      <c r="G883" s="192"/>
      <c r="H883" s="192"/>
      <c r="I883" s="192"/>
    </row>
    <row r="884" spans="1:9">
      <c r="A884" s="192"/>
      <c r="B884" s="192"/>
      <c r="C884" s="192"/>
      <c r="D884" s="192"/>
      <c r="E884" s="192"/>
      <c r="F884" s="192"/>
      <c r="G884" s="192"/>
      <c r="H884" s="192"/>
      <c r="I884" s="192"/>
    </row>
    <row r="885" spans="1:9">
      <c r="A885" s="192"/>
      <c r="B885" s="192"/>
      <c r="C885" s="192"/>
      <c r="D885" s="192"/>
      <c r="E885" s="192"/>
      <c r="F885" s="192"/>
      <c r="G885" s="192"/>
      <c r="H885" s="192"/>
      <c r="I885" s="192"/>
    </row>
    <row r="886" spans="1:9">
      <c r="A886" s="192"/>
      <c r="B886" s="192"/>
      <c r="C886" s="192"/>
      <c r="D886" s="192"/>
      <c r="E886" s="192"/>
      <c r="F886" s="192"/>
      <c r="G886" s="192"/>
      <c r="H886" s="192"/>
      <c r="I886" s="192"/>
    </row>
    <row r="887" spans="1:9">
      <c r="A887" s="192"/>
      <c r="B887" s="192"/>
      <c r="C887" s="192"/>
      <c r="D887" s="192"/>
      <c r="E887" s="192"/>
      <c r="F887" s="192"/>
      <c r="G887" s="192"/>
      <c r="H887" s="192"/>
      <c r="I887" s="192"/>
    </row>
    <row r="888" spans="1:9">
      <c r="A888" s="192"/>
      <c r="B888" s="192"/>
      <c r="C888" s="192"/>
      <c r="D888" s="192"/>
      <c r="E888" s="192"/>
      <c r="F888" s="192"/>
      <c r="G888" s="192"/>
      <c r="H888" s="192"/>
      <c r="I888" s="192"/>
    </row>
    <row r="889" spans="1:9">
      <c r="A889" s="192"/>
      <c r="B889" s="192"/>
      <c r="C889" s="192"/>
      <c r="D889" s="192"/>
      <c r="E889" s="192"/>
      <c r="F889" s="192"/>
      <c r="G889" s="192"/>
      <c r="H889" s="192"/>
      <c r="I889" s="192"/>
    </row>
    <row r="890" spans="1:9">
      <c r="A890" s="192"/>
      <c r="B890" s="192"/>
      <c r="C890" s="192"/>
      <c r="D890" s="192"/>
      <c r="E890" s="192"/>
      <c r="F890" s="192"/>
      <c r="G890" s="192"/>
      <c r="H890" s="192"/>
      <c r="I890" s="192"/>
    </row>
    <row r="891" spans="1:9">
      <c r="A891" s="192"/>
      <c r="B891" s="192"/>
      <c r="C891" s="192"/>
      <c r="D891" s="192"/>
      <c r="E891" s="192"/>
      <c r="F891" s="192"/>
      <c r="G891" s="192"/>
      <c r="H891" s="192"/>
      <c r="I891" s="192"/>
    </row>
    <row r="892" spans="1:9">
      <c r="A892" s="192"/>
      <c r="B892" s="192"/>
      <c r="C892" s="192"/>
      <c r="D892" s="192"/>
      <c r="E892" s="192"/>
      <c r="F892" s="192"/>
      <c r="G892" s="192"/>
      <c r="H892" s="192"/>
      <c r="I892" s="192"/>
    </row>
    <row r="893" spans="1:9">
      <c r="A893" s="192"/>
      <c r="B893" s="192"/>
      <c r="C893" s="192"/>
      <c r="D893" s="192"/>
      <c r="E893" s="192"/>
      <c r="F893" s="192"/>
      <c r="G893" s="192"/>
      <c r="H893" s="192"/>
      <c r="I893" s="192"/>
    </row>
    <row r="894" spans="1:9">
      <c r="A894" s="192"/>
      <c r="B894" s="192"/>
      <c r="C894" s="192"/>
      <c r="D894" s="192"/>
      <c r="E894" s="192"/>
      <c r="F894" s="192"/>
      <c r="G894" s="192"/>
      <c r="H894" s="192"/>
      <c r="I894" s="192"/>
    </row>
    <row r="895" spans="1:9">
      <c r="A895" s="192"/>
      <c r="B895" s="192"/>
      <c r="C895" s="192"/>
      <c r="D895" s="192"/>
      <c r="E895" s="192"/>
      <c r="F895" s="192"/>
      <c r="G895" s="192"/>
      <c r="H895" s="192"/>
      <c r="I895" s="192"/>
    </row>
    <row r="896" spans="1:9">
      <c r="A896" s="192"/>
      <c r="B896" s="192"/>
      <c r="C896" s="192"/>
      <c r="D896" s="192"/>
      <c r="E896" s="192"/>
      <c r="F896" s="192"/>
      <c r="G896" s="192"/>
      <c r="H896" s="192"/>
      <c r="I896" s="192"/>
    </row>
    <row r="897" spans="1:9">
      <c r="A897" s="192"/>
      <c r="B897" s="192"/>
      <c r="C897" s="192"/>
      <c r="D897" s="192"/>
      <c r="E897" s="192"/>
      <c r="F897" s="192"/>
      <c r="G897" s="192"/>
      <c r="H897" s="192"/>
      <c r="I897" s="192"/>
    </row>
    <row r="898" spans="1:9">
      <c r="A898" s="192"/>
      <c r="B898" s="192"/>
      <c r="C898" s="192"/>
      <c r="D898" s="192"/>
      <c r="E898" s="192"/>
      <c r="F898" s="192"/>
      <c r="G898" s="192"/>
      <c r="H898" s="192"/>
      <c r="I898" s="192"/>
    </row>
    <row r="899" spans="1:9">
      <c r="A899" s="192"/>
      <c r="B899" s="192"/>
      <c r="C899" s="192"/>
      <c r="D899" s="192"/>
      <c r="E899" s="192"/>
      <c r="F899" s="192"/>
      <c r="G899" s="192"/>
      <c r="H899" s="192"/>
      <c r="I899" s="192"/>
    </row>
    <row r="900" spans="1:9">
      <c r="A900" s="192"/>
      <c r="B900" s="192"/>
      <c r="C900" s="192"/>
      <c r="D900" s="192"/>
      <c r="E900" s="192"/>
      <c r="F900" s="192"/>
      <c r="G900" s="192"/>
      <c r="H900" s="192"/>
      <c r="I900" s="192"/>
    </row>
  </sheetData>
  <sheetProtection sheet="1" objects="1" scenarios="1" autoFilter="0"/>
  <mergeCells count="70">
    <mergeCell ref="B670:G670"/>
    <mergeCell ref="B693:G693"/>
    <mergeCell ref="B648:I648"/>
    <mergeCell ref="B672:I672"/>
    <mergeCell ref="B277:I277"/>
    <mergeCell ref="B293:I293"/>
    <mergeCell ref="B295:G295"/>
    <mergeCell ref="B297:I297"/>
    <mergeCell ref="B323:G323"/>
    <mergeCell ref="B325:I325"/>
    <mergeCell ref="B351:G351"/>
    <mergeCell ref="B353:I353"/>
    <mergeCell ref="B379:G379"/>
    <mergeCell ref="B381:I381"/>
    <mergeCell ref="B401:G401"/>
    <mergeCell ref="B403:I403"/>
    <mergeCell ref="B695:I695"/>
    <mergeCell ref="B22:I22"/>
    <mergeCell ref="B57:I57"/>
    <mergeCell ref="B201:I201"/>
    <mergeCell ref="B399:I399"/>
    <mergeCell ref="B457:I457"/>
    <mergeCell ref="B483:I483"/>
    <mergeCell ref="B547:I547"/>
    <mergeCell ref="B24:G24"/>
    <mergeCell ref="B26:I26"/>
    <mergeCell ref="B35:G35"/>
    <mergeCell ref="B37:I37"/>
    <mergeCell ref="B47:G47"/>
    <mergeCell ref="B49:I49"/>
    <mergeCell ref="B644:I644"/>
    <mergeCell ref="B646:G646"/>
    <mergeCell ref="B59:G59"/>
    <mergeCell ref="B61:I61"/>
    <mergeCell ref="B84:G84"/>
    <mergeCell ref="B86:I86"/>
    <mergeCell ref="B109:G109"/>
    <mergeCell ref="B111:I111"/>
    <mergeCell ref="B130:G130"/>
    <mergeCell ref="B132:I132"/>
    <mergeCell ref="B153:G153"/>
    <mergeCell ref="B155:I155"/>
    <mergeCell ref="B179:G179"/>
    <mergeCell ref="B181:I181"/>
    <mergeCell ref="B203:G203"/>
    <mergeCell ref="B205:I205"/>
    <mergeCell ref="B227:G227"/>
    <mergeCell ref="B485:G485"/>
    <mergeCell ref="B487:I487"/>
    <mergeCell ref="B229:I229"/>
    <mergeCell ref="B253:G253"/>
    <mergeCell ref="B255:I255"/>
    <mergeCell ref="B275:G275"/>
    <mergeCell ref="B429:G429"/>
    <mergeCell ref="B20:I20"/>
    <mergeCell ref="B620:G620"/>
    <mergeCell ref="B622:I622"/>
    <mergeCell ref="B549:G549"/>
    <mergeCell ref="B551:I551"/>
    <mergeCell ref="B572:G572"/>
    <mergeCell ref="B574:I574"/>
    <mergeCell ref="B595:G595"/>
    <mergeCell ref="B504:G504"/>
    <mergeCell ref="B506:I506"/>
    <mergeCell ref="B523:G523"/>
    <mergeCell ref="B525:I525"/>
    <mergeCell ref="B597:I597"/>
    <mergeCell ref="B431:I431"/>
    <mergeCell ref="B459:G459"/>
    <mergeCell ref="B461:I461"/>
  </mergeCells>
  <conditionalFormatting sqref="I32">
    <cfRule type="expression" dxfId="314" priority="100">
      <formula>I32="✓ Correct"</formula>
    </cfRule>
    <cfRule type="expression" dxfId="313" priority="101">
      <formula>I32="À revoir"</formula>
    </cfRule>
    <cfRule type="expression" dxfId="312" priority="102">
      <formula>I32="À faire"</formula>
    </cfRule>
  </conditionalFormatting>
  <conditionalFormatting sqref="I44">
    <cfRule type="expression" dxfId="311" priority="103">
      <formula>I44="✓ Correct"</formula>
    </cfRule>
    <cfRule type="expression" dxfId="310" priority="104">
      <formula>I44="À revoir"</formula>
    </cfRule>
    <cfRule type="expression" dxfId="309" priority="105">
      <formula>I44="À faire"</formula>
    </cfRule>
  </conditionalFormatting>
  <conditionalFormatting sqref="I54">
    <cfRule type="expression" dxfId="308" priority="106">
      <formula>I54="✓ Correct"</formula>
    </cfRule>
    <cfRule type="expression" dxfId="307" priority="107">
      <formula>I54="À revoir"</formula>
    </cfRule>
    <cfRule type="expression" dxfId="306" priority="108">
      <formula>I54="À faire"</formula>
    </cfRule>
  </conditionalFormatting>
  <conditionalFormatting sqref="I81">
    <cfRule type="expression" dxfId="305" priority="109">
      <formula>I81="✓ Correct"</formula>
    </cfRule>
    <cfRule type="expression" dxfId="304" priority="110">
      <formula>I81="À revoir"</formula>
    </cfRule>
    <cfRule type="expression" dxfId="303" priority="111">
      <formula>I81="À faire"</formula>
    </cfRule>
  </conditionalFormatting>
  <conditionalFormatting sqref="I106">
    <cfRule type="expression" dxfId="302" priority="112">
      <formula>I106="✓ Correct"</formula>
    </cfRule>
    <cfRule type="expression" dxfId="301" priority="113">
      <formula>I106="À revoir"</formula>
    </cfRule>
    <cfRule type="expression" dxfId="300" priority="114">
      <formula>I106="À faire"</formula>
    </cfRule>
  </conditionalFormatting>
  <conditionalFormatting sqref="I127">
    <cfRule type="expression" dxfId="299" priority="115">
      <formula>I127="✓ Correct"</formula>
    </cfRule>
    <cfRule type="expression" dxfId="298" priority="116">
      <formula>I127="À revoir"</formula>
    </cfRule>
    <cfRule type="expression" dxfId="297" priority="117">
      <formula>I127="À faire"</formula>
    </cfRule>
  </conditionalFormatting>
  <conditionalFormatting sqref="I150">
    <cfRule type="expression" dxfId="296" priority="118">
      <formula>I150="✓ Correct"</formula>
    </cfRule>
    <cfRule type="expression" dxfId="295" priority="119">
      <formula>I150="À revoir"</formula>
    </cfRule>
    <cfRule type="expression" dxfId="294" priority="120">
      <formula>I150="À faire"</formula>
    </cfRule>
  </conditionalFormatting>
  <conditionalFormatting sqref="I176">
    <cfRule type="expression" dxfId="293" priority="121">
      <formula>I176="✓ Correct"</formula>
    </cfRule>
    <cfRule type="expression" dxfId="292" priority="122">
      <formula>I176="À revoir"</formula>
    </cfRule>
    <cfRule type="expression" dxfId="291" priority="123">
      <formula>I176="À faire"</formula>
    </cfRule>
  </conditionalFormatting>
  <conditionalFormatting sqref="I198">
    <cfRule type="expression" dxfId="290" priority="124">
      <formula>I198="✓ Correct"</formula>
    </cfRule>
    <cfRule type="expression" dxfId="289" priority="125">
      <formula>I198="À revoir"</formula>
    </cfRule>
    <cfRule type="expression" dxfId="288" priority="126">
      <formula>I198="À faire"</formula>
    </cfRule>
  </conditionalFormatting>
  <conditionalFormatting sqref="I224">
    <cfRule type="expression" dxfId="287" priority="127">
      <formula>I224="✓ Correct"</formula>
    </cfRule>
    <cfRule type="expression" dxfId="286" priority="128">
      <formula>I224="À revoir"</formula>
    </cfRule>
    <cfRule type="expression" dxfId="285" priority="129">
      <formula>I224="À faire"</formula>
    </cfRule>
  </conditionalFormatting>
  <conditionalFormatting sqref="I250">
    <cfRule type="expression" dxfId="284" priority="130">
      <formula>I250="✓ Correct"</formula>
    </cfRule>
    <cfRule type="expression" dxfId="283" priority="131">
      <formula>I250="À revoir"</formula>
    </cfRule>
    <cfRule type="expression" dxfId="282" priority="132">
      <formula>I250="À faire"</formula>
    </cfRule>
  </conditionalFormatting>
  <conditionalFormatting sqref="I272">
    <cfRule type="expression" dxfId="281" priority="133">
      <formula>I272="✓ Correct"</formula>
    </cfRule>
    <cfRule type="expression" dxfId="280" priority="134">
      <formula>I272="À revoir"</formula>
    </cfRule>
    <cfRule type="expression" dxfId="279" priority="135">
      <formula>I272="À faire"</formula>
    </cfRule>
  </conditionalFormatting>
  <conditionalFormatting sqref="I290">
    <cfRule type="expression" dxfId="278" priority="192">
      <formula>I290="À faire"</formula>
    </cfRule>
    <cfRule type="expression" dxfId="277" priority="190">
      <formula>I290="✓ Correct"</formula>
    </cfRule>
    <cfRule type="expression" dxfId="276" priority="191">
      <formula>I290="À revoir"</formula>
    </cfRule>
  </conditionalFormatting>
  <conditionalFormatting sqref="I302">
    <cfRule type="expression" dxfId="275" priority="136">
      <formula>I302="✓ Correct"</formula>
    </cfRule>
    <cfRule type="expression" dxfId="274" priority="137">
      <formula>I302="À revoir"</formula>
    </cfRule>
    <cfRule type="expression" dxfId="273" priority="138">
      <formula>I302="À faire"</formula>
    </cfRule>
  </conditionalFormatting>
  <conditionalFormatting sqref="I320">
    <cfRule type="expression" dxfId="272" priority="194">
      <formula>I320="À revoir"</formula>
    </cfRule>
    <cfRule type="expression" dxfId="271" priority="193">
      <formula>I320="✓ Correct"</formula>
    </cfRule>
    <cfRule type="expression" dxfId="270" priority="195">
      <formula>I320="À faire"</formula>
    </cfRule>
  </conditionalFormatting>
  <conditionalFormatting sqref="I330">
    <cfRule type="expression" dxfId="269" priority="139">
      <formula>I330="✓ Correct"</formula>
    </cfRule>
    <cfRule type="expression" dxfId="268" priority="140">
      <formula>I330="À revoir"</formula>
    </cfRule>
    <cfRule type="expression" dxfId="267" priority="141">
      <formula>I330="À faire"</formula>
    </cfRule>
  </conditionalFormatting>
  <conditionalFormatting sqref="I348">
    <cfRule type="expression" dxfId="266" priority="196">
      <formula>I348="✓ Correct"</formula>
    </cfRule>
    <cfRule type="expression" dxfId="265" priority="197">
      <formula>I348="À revoir"</formula>
    </cfRule>
    <cfRule type="expression" dxfId="264" priority="198">
      <formula>I348="À faire"</formula>
    </cfRule>
  </conditionalFormatting>
  <conditionalFormatting sqref="I358">
    <cfRule type="expression" dxfId="263" priority="142">
      <formula>I358="✓ Correct"</formula>
    </cfRule>
    <cfRule type="expression" dxfId="262" priority="143">
      <formula>I358="À revoir"</formula>
    </cfRule>
    <cfRule type="expression" dxfId="261" priority="144">
      <formula>I358="À faire"</formula>
    </cfRule>
  </conditionalFormatting>
  <conditionalFormatting sqref="I376">
    <cfRule type="expression" dxfId="260" priority="201">
      <formula>I376="À faire"</formula>
    </cfRule>
    <cfRule type="expression" dxfId="259" priority="199">
      <formula>I376="✓ Correct"</formula>
    </cfRule>
    <cfRule type="expression" dxfId="258" priority="200">
      <formula>I376="À revoir"</formula>
    </cfRule>
  </conditionalFormatting>
  <conditionalFormatting sqref="I378">
    <cfRule type="expression" dxfId="257" priority="146">
      <formula>I378="À revoir"</formula>
    </cfRule>
    <cfRule type="expression" dxfId="256" priority="147">
      <formula>I378="À faire"</formula>
    </cfRule>
    <cfRule type="expression" dxfId="255" priority="145">
      <formula>I378="✓ Correct"</formula>
    </cfRule>
  </conditionalFormatting>
  <conditionalFormatting sqref="I394">
    <cfRule type="expression" dxfId="254" priority="204">
      <formula>I394="À faire"</formula>
    </cfRule>
    <cfRule type="expression" dxfId="253" priority="202">
      <formula>I394="✓ Correct"</formula>
    </cfRule>
    <cfRule type="expression" dxfId="252" priority="203">
      <formula>I394="À revoir"</formula>
    </cfRule>
  </conditionalFormatting>
  <conditionalFormatting sqref="I396">
    <cfRule type="expression" dxfId="251" priority="149">
      <formula>I396="À revoir"</formula>
    </cfRule>
    <cfRule type="expression" dxfId="250" priority="150">
      <formula>I396="À faire"</formula>
    </cfRule>
    <cfRule type="expression" dxfId="249" priority="148">
      <formula>I396="✓ Correct"</formula>
    </cfRule>
  </conditionalFormatting>
  <conditionalFormatting sqref="I426">
    <cfRule type="expression" dxfId="248" priority="152">
      <formula>I426="À revoir"</formula>
    </cfRule>
    <cfRule type="expression" dxfId="247" priority="151">
      <formula>I426="✓ Correct"</formula>
    </cfRule>
    <cfRule type="expression" dxfId="246" priority="153">
      <formula>I426="À faire"</formula>
    </cfRule>
  </conditionalFormatting>
  <conditionalFormatting sqref="I454">
    <cfRule type="expression" dxfId="245" priority="156">
      <formula>I454="À faire"</formula>
    </cfRule>
    <cfRule type="expression" dxfId="244" priority="155">
      <formula>I454="À revoir"</formula>
    </cfRule>
    <cfRule type="expression" dxfId="243" priority="154">
      <formula>I454="✓ Correct"</formula>
    </cfRule>
  </conditionalFormatting>
  <conditionalFormatting sqref="I480">
    <cfRule type="expression" dxfId="242" priority="158">
      <formula>I480="À revoir"</formula>
    </cfRule>
    <cfRule type="expression" dxfId="241" priority="159">
      <formula>I480="À faire"</formula>
    </cfRule>
    <cfRule type="expression" dxfId="240" priority="157">
      <formula>I480="✓ Correct"</formula>
    </cfRule>
  </conditionalFormatting>
  <conditionalFormatting sqref="I501">
    <cfRule type="expression" dxfId="239" priority="162">
      <formula>I501="À faire"</formula>
    </cfRule>
    <cfRule type="expression" dxfId="238" priority="161">
      <formula>I501="À revoir"</formula>
    </cfRule>
    <cfRule type="expression" dxfId="237" priority="160">
      <formula>I501="✓ Correct"</formula>
    </cfRule>
  </conditionalFormatting>
  <conditionalFormatting sqref="I520">
    <cfRule type="expression" dxfId="236" priority="163">
      <formula>I520="✓ Correct"</formula>
    </cfRule>
    <cfRule type="expression" dxfId="235" priority="164">
      <formula>I520="À revoir"</formula>
    </cfRule>
    <cfRule type="expression" dxfId="234" priority="165">
      <formula>I520="À faire"</formula>
    </cfRule>
  </conditionalFormatting>
  <conditionalFormatting sqref="I544">
    <cfRule type="expression" dxfId="233" priority="166">
      <formula>I544="✓ Correct"</formula>
    </cfRule>
    <cfRule type="expression" dxfId="232" priority="167">
      <formula>I544="À revoir"</formula>
    </cfRule>
    <cfRule type="expression" dxfId="231" priority="168">
      <formula>I544="À faire"</formula>
    </cfRule>
  </conditionalFormatting>
  <conditionalFormatting sqref="I569">
    <cfRule type="expression" dxfId="230" priority="169">
      <formula>I569="✓ Correct"</formula>
    </cfRule>
    <cfRule type="expression" dxfId="229" priority="171">
      <formula>I569="À faire"</formula>
    </cfRule>
    <cfRule type="expression" dxfId="228" priority="170">
      <formula>I569="À revoir"</formula>
    </cfRule>
  </conditionalFormatting>
  <conditionalFormatting sqref="I592">
    <cfRule type="expression" dxfId="227" priority="174">
      <formula>I592="À faire"</formula>
    </cfRule>
    <cfRule type="expression" dxfId="226" priority="173">
      <formula>I592="À revoir"</formula>
    </cfRule>
    <cfRule type="expression" dxfId="225" priority="172">
      <formula>I592="✓ Correct"</formula>
    </cfRule>
  </conditionalFormatting>
  <conditionalFormatting sqref="I617">
    <cfRule type="expression" dxfId="224" priority="177">
      <formula>I617="À faire"</formula>
    </cfRule>
    <cfRule type="expression" dxfId="223" priority="176">
      <formula>I617="À revoir"</formula>
    </cfRule>
    <cfRule type="expression" dxfId="222" priority="175">
      <formula>I617="✓ Correct"</formula>
    </cfRule>
  </conditionalFormatting>
  <conditionalFormatting sqref="I639">
    <cfRule type="expression" dxfId="221" priority="180">
      <formula>I639="À faire"</formula>
    </cfRule>
    <cfRule type="expression" dxfId="220" priority="179">
      <formula>I639="À revoir"</formula>
    </cfRule>
    <cfRule type="expression" dxfId="219" priority="178">
      <formula>I639="✓ Correct"</formula>
    </cfRule>
  </conditionalFormatting>
  <conditionalFormatting sqref="I667">
    <cfRule type="expression" dxfId="218" priority="183">
      <formula>I667="À faire"</formula>
    </cfRule>
    <cfRule type="expression" dxfId="217" priority="182">
      <formula>I667="À revoir"</formula>
    </cfRule>
    <cfRule type="expression" dxfId="216" priority="181">
      <formula>I667="✓ Correct"</formula>
    </cfRule>
  </conditionalFormatting>
  <conditionalFormatting sqref="I690">
    <cfRule type="expression" dxfId="215" priority="185">
      <formula>I690="À revoir"</formula>
    </cfRule>
    <cfRule type="expression" dxfId="214" priority="186">
      <formula>I690="À faire"</formula>
    </cfRule>
    <cfRule type="expression" dxfId="213" priority="184">
      <formula>I690="✓ Correct"</formula>
    </cfRule>
  </conditionalFormatting>
  <conditionalFormatting sqref="I714">
    <cfRule type="expression" dxfId="212" priority="187">
      <formula>I714="✓ Correct"</formula>
    </cfRule>
    <cfRule type="expression" dxfId="211" priority="188">
      <formula>I714="À revoir"</formula>
    </cfRule>
    <cfRule type="expression" dxfId="210" priority="189">
      <formula>I714="À faire"</formula>
    </cfRule>
  </conditionalFormatting>
  <dataValidations count="1">
    <dataValidation type="list" sqref="C39:C42" xr:uid="{00000000-0002-0000-0800-000000000000}">
      <formula1>"Possible,Bloquée"</formula1>
    </dataValidation>
  </dataValidations>
  <hyperlinks>
    <hyperlink ref="I2" location="SOMMAIRE!A1" display="SOMMAIRE" xr:uid="{00000000-0004-0000-0800-00000000000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70"/>
  <sheetViews>
    <sheetView showGridLines="0" workbookViewId="0">
      <selection activeCell="I2" sqref="I2"/>
    </sheetView>
  </sheetViews>
  <sheetFormatPr baseColWidth="10" defaultColWidth="9" defaultRowHeight="14.25"/>
  <cols>
    <col min="1" max="1" width="3" customWidth="1"/>
    <col min="2" max="2" width="35.5" customWidth="1"/>
    <col min="3" max="3" width="62" customWidth="1"/>
    <col min="4" max="4" width="23.125" customWidth="1"/>
    <col min="5" max="5" width="28" customWidth="1"/>
    <col min="6" max="6" width="12.25" customWidth="1"/>
    <col min="7" max="7" width="11.5" customWidth="1"/>
    <col min="8" max="9" width="18" customWidth="1"/>
    <col min="10" max="10" width="13" customWidth="1"/>
  </cols>
  <sheetData>
    <row r="1" spans="1:10">
      <c r="A1" s="42"/>
      <c r="B1" s="42"/>
      <c r="C1" s="42"/>
      <c r="D1" s="42"/>
      <c r="E1" s="42"/>
      <c r="F1" s="42"/>
      <c r="G1" s="42"/>
      <c r="H1" s="42"/>
      <c r="I1" s="42"/>
      <c r="J1" s="42"/>
    </row>
    <row r="2" spans="1:10" ht="19.5" customHeight="1">
      <c r="A2" s="42"/>
      <c r="B2" s="43" t="s">
        <v>480</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ht="15">
      <c r="B6" s="215" t="s">
        <v>897</v>
      </c>
      <c r="C6" s="215" t="s">
        <v>898</v>
      </c>
    </row>
    <row r="7" spans="1:10" ht="33.950000000000003" customHeight="1">
      <c r="B7" s="217" t="s">
        <v>482</v>
      </c>
      <c r="C7" s="218" t="s">
        <v>483</v>
      </c>
    </row>
    <row r="8" spans="1:10" ht="33.950000000000003" customHeight="1">
      <c r="B8" s="217" t="s">
        <v>486</v>
      </c>
      <c r="C8" s="218" t="s">
        <v>487</v>
      </c>
    </row>
    <row r="9" spans="1:10" ht="33.950000000000003" customHeight="1">
      <c r="B9" s="217" t="s">
        <v>490</v>
      </c>
      <c r="C9" s="218" t="s">
        <v>491</v>
      </c>
    </row>
    <row r="10" spans="1:10" ht="33.950000000000003" customHeight="1">
      <c r="B10" s="217" t="s">
        <v>494</v>
      </c>
      <c r="C10" s="218" t="s">
        <v>495</v>
      </c>
    </row>
    <row r="11" spans="1:10" ht="33.950000000000003" customHeight="1">
      <c r="B11" s="217" t="s">
        <v>497</v>
      </c>
      <c r="C11" s="218" t="s">
        <v>498</v>
      </c>
    </row>
    <row r="12" spans="1:10" ht="33.950000000000003" customHeight="1">
      <c r="B12" s="217" t="s">
        <v>501</v>
      </c>
      <c r="C12" s="218" t="s">
        <v>502</v>
      </c>
    </row>
    <row r="13" spans="1:10" ht="33.950000000000003" customHeight="1">
      <c r="B13" s="217" t="s">
        <v>505</v>
      </c>
      <c r="C13" s="218" t="s">
        <v>506</v>
      </c>
    </row>
    <row r="14" spans="1:10" ht="33.950000000000003" customHeight="1">
      <c r="B14" s="217" t="s">
        <v>508</v>
      </c>
      <c r="C14" s="218" t="s">
        <v>509</v>
      </c>
    </row>
    <row r="15" spans="1:10" ht="33.950000000000003" customHeight="1">
      <c r="B15" s="217" t="s">
        <v>512</v>
      </c>
      <c r="C15" s="218" t="s">
        <v>513</v>
      </c>
    </row>
    <row r="16" spans="1:10" ht="33.950000000000003" customHeight="1">
      <c r="B16" s="217"/>
      <c r="C16" s="218"/>
    </row>
    <row r="17" spans="2:9" ht="33.950000000000003" customHeight="1">
      <c r="B17" s="217"/>
      <c r="C17" s="218"/>
    </row>
    <row r="18" spans="2:9" ht="33.950000000000003" customHeight="1"/>
    <row r="20" spans="2:9" ht="15">
      <c r="B20" s="570" t="s">
        <v>1590</v>
      </c>
      <c r="C20" s="570"/>
      <c r="D20" s="570"/>
      <c r="E20" s="570"/>
      <c r="F20" s="570"/>
      <c r="G20" s="570"/>
      <c r="H20" s="570"/>
      <c r="I20" s="570"/>
    </row>
    <row r="22" spans="2:9" ht="21.95" customHeight="1">
      <c r="B22" s="576" t="s">
        <v>1591</v>
      </c>
      <c r="C22" s="576"/>
      <c r="D22" s="576"/>
      <c r="E22" s="576"/>
      <c r="F22" s="576"/>
      <c r="G22" s="576"/>
      <c r="H22" s="576"/>
      <c r="I22" s="576"/>
    </row>
    <row r="24" spans="2:9" ht="24.95" customHeight="1">
      <c r="B24" s="573" t="s">
        <v>1592</v>
      </c>
      <c r="C24" s="573"/>
      <c r="D24" s="573"/>
      <c r="E24" s="573"/>
      <c r="F24" s="573"/>
      <c r="G24" s="573"/>
      <c r="H24" s="219" t="s">
        <v>901</v>
      </c>
      <c r="I24" s="220" t="s">
        <v>902</v>
      </c>
    </row>
    <row r="26" spans="2:9" ht="45.95" customHeight="1">
      <c r="B26" s="575" t="s">
        <v>1593</v>
      </c>
      <c r="C26" s="575"/>
      <c r="D26" s="575"/>
      <c r="E26" s="575"/>
      <c r="F26" s="575"/>
      <c r="G26" s="575"/>
      <c r="H26" s="575"/>
      <c r="I26" s="575"/>
    </row>
    <row r="28" spans="2:9" ht="15">
      <c r="B28" s="209" t="s">
        <v>57</v>
      </c>
    </row>
    <row r="29" spans="2:9">
      <c r="B29" s="407">
        <v>12.4</v>
      </c>
    </row>
    <row r="30" spans="2:9">
      <c r="B30" s="407">
        <v>15.8</v>
      </c>
    </row>
    <row r="31" spans="2:9">
      <c r="B31" s="407">
        <v>14.1</v>
      </c>
    </row>
    <row r="32" spans="2:9">
      <c r="B32" s="407">
        <v>16.2</v>
      </c>
    </row>
    <row r="33" spans="2:9">
      <c r="B33" s="407">
        <v>13.7</v>
      </c>
    </row>
    <row r="35" spans="2:9" ht="15">
      <c r="B35" s="577" t="s">
        <v>1594</v>
      </c>
      <c r="C35" s="577"/>
      <c r="D35" s="577"/>
      <c r="E35" s="577"/>
    </row>
    <row r="37" spans="2:9" ht="15">
      <c r="B37" s="414" t="s">
        <v>1595</v>
      </c>
      <c r="C37" s="398"/>
    </row>
    <row r="38" spans="2:9" ht="15">
      <c r="B38" s="415" t="s">
        <v>1596</v>
      </c>
      <c r="C38" s="398"/>
    </row>
    <row r="39" spans="2:9" ht="15">
      <c r="B39" s="415" t="s">
        <v>1597</v>
      </c>
      <c r="C39" s="398"/>
    </row>
    <row r="40" spans="2:9" ht="15">
      <c r="B40" s="416" t="s">
        <v>1598</v>
      </c>
      <c r="C40" s="398"/>
    </row>
    <row r="42" spans="2:9" ht="15">
      <c r="H42" s="209" t="s">
        <v>909</v>
      </c>
      <c r="I42" s="221" t="str">
        <f>IF(COUNTA(C37:C40)&lt;4,"À faire",IF(AND(UPPER(C37)="MOYENNE",ABS(C38-14.44)&lt;0.0001,UPPER(C39)="ARRONDI",ABS(C40-14.4)&lt;0.0001),"✓ Correct","À revoir"))</f>
        <v>À faire</v>
      </c>
    </row>
    <row r="45" spans="2:9" ht="24.95" customHeight="1">
      <c r="B45" s="573" t="s">
        <v>1599</v>
      </c>
      <c r="C45" s="573"/>
      <c r="D45" s="573"/>
      <c r="E45" s="573"/>
      <c r="F45" s="573"/>
      <c r="G45" s="573"/>
      <c r="H45" s="219" t="s">
        <v>901</v>
      </c>
      <c r="I45" s="220" t="s">
        <v>902</v>
      </c>
    </row>
    <row r="47" spans="2:9" ht="51.95" customHeight="1">
      <c r="B47" s="575" t="s">
        <v>1600</v>
      </c>
      <c r="C47" s="575"/>
      <c r="D47" s="575"/>
      <c r="E47" s="575"/>
      <c r="F47" s="575"/>
      <c r="G47" s="575"/>
      <c r="H47" s="575"/>
      <c r="I47" s="575"/>
    </row>
    <row r="49" spans="2:9" ht="15">
      <c r="B49" s="209" t="s">
        <v>1256</v>
      </c>
    </row>
    <row r="50" spans="2:9">
      <c r="B50" s="222" t="s">
        <v>1601</v>
      </c>
    </row>
    <row r="52" spans="2:9" ht="15">
      <c r="B52" s="208" t="s">
        <v>927</v>
      </c>
      <c r="C52" s="398"/>
    </row>
    <row r="54" spans="2:9" ht="15">
      <c r="H54" s="209" t="s">
        <v>909</v>
      </c>
      <c r="I54" s="221" t="str">
        <f>IF(C52="","À faire",IFERROR(IF(C52=13,"✓ Correct","À revoir"),"À revoir"))</f>
        <v>À faire</v>
      </c>
    </row>
    <row r="57" spans="2:9" ht="24.95" customHeight="1">
      <c r="B57" s="573" t="s">
        <v>1602</v>
      </c>
      <c r="C57" s="573"/>
      <c r="D57" s="573"/>
      <c r="E57" s="573"/>
      <c r="F57" s="573"/>
      <c r="G57" s="573"/>
      <c r="H57" s="219" t="s">
        <v>930</v>
      </c>
      <c r="I57" s="220" t="s">
        <v>902</v>
      </c>
    </row>
    <row r="59" spans="2:9" ht="51.95" customHeight="1">
      <c r="B59" s="575" t="s">
        <v>1603</v>
      </c>
      <c r="C59" s="575"/>
      <c r="D59" s="575"/>
      <c r="E59" s="575"/>
      <c r="F59" s="575"/>
      <c r="G59" s="575"/>
      <c r="H59" s="575"/>
      <c r="I59" s="575"/>
    </row>
    <row r="61" spans="2:9" ht="15">
      <c r="B61" s="209" t="s">
        <v>1097</v>
      </c>
      <c r="C61" s="209" t="s">
        <v>26</v>
      </c>
    </row>
    <row r="62" spans="2:9">
      <c r="B62" s="408" t="s">
        <v>1098</v>
      </c>
      <c r="C62" s="409">
        <v>481</v>
      </c>
    </row>
    <row r="63" spans="2:9">
      <c r="B63" s="408" t="s">
        <v>1099</v>
      </c>
      <c r="C63" s="409">
        <v>320</v>
      </c>
    </row>
    <row r="64" spans="2:9">
      <c r="B64" s="408" t="s">
        <v>1098</v>
      </c>
      <c r="C64" s="409">
        <v>752</v>
      </c>
    </row>
    <row r="65" spans="2:9">
      <c r="B65" s="408" t="s">
        <v>1105</v>
      </c>
      <c r="C65" s="409">
        <v>210</v>
      </c>
    </row>
    <row r="66" spans="2:9">
      <c r="B66" s="408" t="s">
        <v>1098</v>
      </c>
      <c r="C66" s="409">
        <v>563</v>
      </c>
    </row>
    <row r="67" spans="2:9">
      <c r="B67" s="408" t="s">
        <v>1098</v>
      </c>
      <c r="C67" s="409">
        <v>391</v>
      </c>
    </row>
    <row r="69" spans="2:9" ht="15">
      <c r="B69" s="208" t="s">
        <v>927</v>
      </c>
      <c r="C69" s="398"/>
    </row>
    <row r="71" spans="2:9" ht="15">
      <c r="H71" s="209" t="s">
        <v>909</v>
      </c>
      <c r="I71" s="221" t="str">
        <f>IF(C69="","À faire",IFERROR(IF(ABS(C69-546.8)&lt;0.0001,"✓ Correct","À revoir"),"À revoir"))</f>
        <v>À faire</v>
      </c>
    </row>
    <row r="74" spans="2:9" ht="24.95" customHeight="1">
      <c r="B74" s="573" t="s">
        <v>1604</v>
      </c>
      <c r="C74" s="573"/>
      <c r="D74" s="573"/>
      <c r="E74" s="573"/>
      <c r="F74" s="573"/>
      <c r="G74" s="573"/>
      <c r="H74" s="219" t="s">
        <v>930</v>
      </c>
      <c r="I74" s="220" t="s">
        <v>902</v>
      </c>
    </row>
    <row r="76" spans="2:9" ht="51.95" customHeight="1">
      <c r="B76" s="575" t="s">
        <v>1605</v>
      </c>
      <c r="C76" s="575"/>
      <c r="D76" s="575"/>
      <c r="E76" s="575"/>
      <c r="F76" s="575"/>
      <c r="G76" s="575"/>
      <c r="H76" s="575"/>
      <c r="I76" s="575"/>
    </row>
    <row r="78" spans="2:9" ht="15">
      <c r="B78" s="209" t="s">
        <v>1225</v>
      </c>
    </row>
    <row r="79" spans="2:9">
      <c r="B79" s="222" t="s">
        <v>1606</v>
      </c>
    </row>
    <row r="81" spans="2:9" ht="15">
      <c r="B81" s="208" t="s">
        <v>927</v>
      </c>
      <c r="C81" s="398"/>
    </row>
    <row r="83" spans="2:9" ht="15">
      <c r="H83" s="209" t="s">
        <v>909</v>
      </c>
      <c r="I83" s="221" t="str">
        <f>IF(C81="","À faire",IFERROR(IF(C81=8,"✓ Correct","À revoir"),"À revoir"))</f>
        <v>À faire</v>
      </c>
    </row>
    <row r="86" spans="2:9" ht="21.95" customHeight="1">
      <c r="B86" s="576" t="s">
        <v>1607</v>
      </c>
      <c r="C86" s="576"/>
      <c r="D86" s="576"/>
      <c r="E86" s="576"/>
      <c r="F86" s="576"/>
      <c r="G86" s="576"/>
      <c r="H86" s="576"/>
      <c r="I86" s="576"/>
    </row>
    <row r="88" spans="2:9" ht="24.95" customHeight="1">
      <c r="B88" s="573" t="s">
        <v>1608</v>
      </c>
      <c r="C88" s="573"/>
      <c r="D88" s="573"/>
      <c r="E88" s="573"/>
      <c r="F88" s="573"/>
      <c r="G88" s="573"/>
      <c r="H88" s="219" t="s">
        <v>930</v>
      </c>
      <c r="I88" s="223" t="s">
        <v>1126</v>
      </c>
    </row>
    <row r="90" spans="2:9" ht="78" customHeight="1">
      <c r="B90" s="575" t="s">
        <v>1609</v>
      </c>
      <c r="C90" s="575"/>
      <c r="D90" s="575"/>
      <c r="E90" s="575"/>
      <c r="F90" s="575"/>
      <c r="G90" s="575"/>
      <c r="H90" s="575"/>
      <c r="I90" s="575"/>
    </row>
    <row r="92" spans="2:9" ht="15">
      <c r="B92" s="209" t="s">
        <v>1097</v>
      </c>
      <c r="C92" s="209" t="s">
        <v>26</v>
      </c>
    </row>
    <row r="93" spans="2:9">
      <c r="B93" s="408" t="s">
        <v>1098</v>
      </c>
      <c r="C93" s="409">
        <v>480</v>
      </c>
    </row>
    <row r="94" spans="2:9">
      <c r="B94" s="408" t="s">
        <v>1099</v>
      </c>
      <c r="C94" s="409">
        <v>920</v>
      </c>
    </row>
    <row r="95" spans="2:9">
      <c r="B95" s="408" t="s">
        <v>1098</v>
      </c>
      <c r="C95" s="409">
        <v>650</v>
      </c>
    </row>
    <row r="96" spans="2:9">
      <c r="B96" s="408" t="s">
        <v>1105</v>
      </c>
      <c r="C96" s="409">
        <v>810</v>
      </c>
    </row>
    <row r="97" spans="2:9">
      <c r="B97" s="408" t="s">
        <v>1098</v>
      </c>
      <c r="C97" s="409">
        <v>560</v>
      </c>
    </row>
    <row r="98" spans="2:9">
      <c r="B98" s="408" t="s">
        <v>1098</v>
      </c>
      <c r="C98" s="409">
        <v>390</v>
      </c>
    </row>
    <row r="100" spans="2:9" ht="15">
      <c r="B100" s="414" t="s">
        <v>1610</v>
      </c>
      <c r="C100" s="398"/>
    </row>
    <row r="101" spans="2:9" ht="15">
      <c r="B101" s="415" t="s">
        <v>1611</v>
      </c>
      <c r="C101" s="398"/>
    </row>
    <row r="102" spans="2:9" ht="15">
      <c r="B102" s="415" t="s">
        <v>1612</v>
      </c>
      <c r="C102" s="398"/>
    </row>
    <row r="103" spans="2:9" ht="15">
      <c r="B103" s="415" t="s">
        <v>1613</v>
      </c>
      <c r="C103" s="398"/>
    </row>
    <row r="104" spans="2:9" ht="15">
      <c r="B104" s="416" t="s">
        <v>1614</v>
      </c>
      <c r="C104" s="398"/>
    </row>
    <row r="106" spans="2:9" ht="15">
      <c r="H106" s="209" t="s">
        <v>909</v>
      </c>
      <c r="I106" s="221" t="str">
        <f>IF(COUNTA(C100:C104)&lt;5,"À faire",IFERROR(IF(AND(ABS(C100-650)&lt;0.0001,C101=4,C102=FALSE,C103="Standard",C104="Standard"),"✓ Correct","À revoir"),"À revoir"))</f>
        <v>À faire</v>
      </c>
    </row>
    <row r="109" spans="2:9" ht="24.95" customHeight="1">
      <c r="B109" s="573" t="s">
        <v>1615</v>
      </c>
      <c r="C109" s="573"/>
      <c r="D109" s="573"/>
      <c r="E109" s="573"/>
      <c r="F109" s="573"/>
      <c r="G109" s="573"/>
      <c r="H109" s="219" t="s">
        <v>930</v>
      </c>
      <c r="I109" s="220" t="s">
        <v>902</v>
      </c>
    </row>
    <row r="111" spans="2:9" ht="66" customHeight="1">
      <c r="B111" s="575" t="s">
        <v>1616</v>
      </c>
      <c r="C111" s="575"/>
      <c r="D111" s="575"/>
      <c r="E111" s="575"/>
      <c r="F111" s="575"/>
      <c r="G111" s="575"/>
      <c r="H111" s="575"/>
      <c r="I111" s="575"/>
    </row>
    <row r="113" spans="2:9" ht="15">
      <c r="B113" s="209" t="s">
        <v>1225</v>
      </c>
      <c r="C113" s="209" t="s">
        <v>24</v>
      </c>
      <c r="D113" s="209" t="s">
        <v>933</v>
      </c>
    </row>
    <row r="114" spans="2:9">
      <c r="B114" s="408" t="s">
        <v>1313</v>
      </c>
      <c r="C114" s="227" t="s">
        <v>934</v>
      </c>
      <c r="D114" s="409">
        <v>24.9</v>
      </c>
    </row>
    <row r="115" spans="2:9">
      <c r="B115" s="408" t="s">
        <v>1316</v>
      </c>
      <c r="C115" s="227" t="s">
        <v>935</v>
      </c>
      <c r="D115" s="409">
        <v>19.899999999999999</v>
      </c>
    </row>
    <row r="116" spans="2:9">
      <c r="B116" s="408" t="s">
        <v>1318</v>
      </c>
      <c r="C116" s="227" t="s">
        <v>1319</v>
      </c>
      <c r="D116" s="409">
        <v>34.5</v>
      </c>
    </row>
    <row r="117" spans="2:9">
      <c r="B117" s="408" t="s">
        <v>1321</v>
      </c>
      <c r="C117" s="227" t="s">
        <v>1322</v>
      </c>
      <c r="D117" s="409">
        <v>139.9</v>
      </c>
    </row>
    <row r="118" spans="2:9">
      <c r="B118" s="408" t="s">
        <v>1324</v>
      </c>
      <c r="C118" s="227" t="s">
        <v>1325</v>
      </c>
      <c r="D118" s="409">
        <v>29.9</v>
      </c>
    </row>
    <row r="120" spans="2:9" ht="15">
      <c r="H120" s="417" t="s">
        <v>1309</v>
      </c>
      <c r="I120" s="420" t="s">
        <v>1318</v>
      </c>
    </row>
    <row r="121" spans="2:9" ht="15">
      <c r="H121" s="418" t="s">
        <v>932</v>
      </c>
      <c r="I121" s="421">
        <v>7</v>
      </c>
    </row>
    <row r="123" spans="2:9" ht="15">
      <c r="B123" s="414" t="s">
        <v>1617</v>
      </c>
      <c r="C123" s="398"/>
    </row>
    <row r="124" spans="2:9" ht="15">
      <c r="B124" s="415" t="s">
        <v>1618</v>
      </c>
      <c r="C124" s="398"/>
    </row>
    <row r="125" spans="2:9" ht="15">
      <c r="B125" s="416" t="s">
        <v>1614</v>
      </c>
      <c r="C125" s="398"/>
    </row>
    <row r="127" spans="2:9" ht="15">
      <c r="H127" s="209" t="s">
        <v>909</v>
      </c>
      <c r="I127" s="221" t="str">
        <f>IF(COUNTA(C123:C125)&lt;3,"À faire",IFERROR(IF(AND(ABS(C123-34.5)&lt;0.0001,ABS(C124-241.5)&lt;0.0001,ABS(C125-241.5)&lt;0.0001),"✓ Correct","À revoir"),"À revoir"))</f>
        <v>À faire</v>
      </c>
    </row>
    <row r="130" spans="2:9" ht="24.95" customHeight="1">
      <c r="B130" s="573" t="s">
        <v>1619</v>
      </c>
      <c r="C130" s="573"/>
      <c r="D130" s="573"/>
      <c r="E130" s="573"/>
      <c r="F130" s="573"/>
      <c r="G130" s="573"/>
      <c r="H130" s="219" t="s">
        <v>930</v>
      </c>
      <c r="I130" s="207" t="s">
        <v>1386</v>
      </c>
    </row>
    <row r="131" spans="2:9" ht="21.95" customHeight="1">
      <c r="G131" s="578" t="s">
        <v>1620</v>
      </c>
      <c r="H131" s="578"/>
      <c r="I131" s="578"/>
    </row>
    <row r="132" spans="2:9" ht="78" customHeight="1">
      <c r="B132" s="575" t="s">
        <v>1621</v>
      </c>
      <c r="C132" s="575"/>
      <c r="D132" s="575"/>
      <c r="E132" s="575"/>
      <c r="F132" s="575"/>
      <c r="G132" s="575"/>
      <c r="H132" s="575"/>
      <c r="I132" s="575"/>
    </row>
    <row r="134" spans="2:9" ht="15">
      <c r="B134" s="209" t="s">
        <v>1225</v>
      </c>
      <c r="C134" s="209" t="s">
        <v>24</v>
      </c>
      <c r="D134" s="209" t="s">
        <v>1312</v>
      </c>
    </row>
    <row r="135" spans="2:9">
      <c r="B135" s="408" t="s">
        <v>1313</v>
      </c>
      <c r="C135" s="227" t="s">
        <v>934</v>
      </c>
      <c r="D135" s="410">
        <v>12</v>
      </c>
    </row>
    <row r="136" spans="2:9">
      <c r="B136" s="408" t="s">
        <v>1316</v>
      </c>
      <c r="C136" s="227" t="s">
        <v>935</v>
      </c>
      <c r="D136" s="410">
        <v>8</v>
      </c>
    </row>
    <row r="137" spans="2:9">
      <c r="B137" s="408" t="s">
        <v>1318</v>
      </c>
      <c r="C137" s="227" t="s">
        <v>1319</v>
      </c>
      <c r="D137" s="410">
        <v>15</v>
      </c>
    </row>
    <row r="138" spans="2:9">
      <c r="B138" s="408" t="s">
        <v>1321</v>
      </c>
      <c r="C138" s="227" t="s">
        <v>1322</v>
      </c>
      <c r="D138" s="410">
        <v>7</v>
      </c>
    </row>
    <row r="139" spans="2:9">
      <c r="B139" s="408" t="s">
        <v>1324</v>
      </c>
      <c r="C139" s="227" t="s">
        <v>1325</v>
      </c>
      <c r="D139" s="410">
        <v>20</v>
      </c>
    </row>
    <row r="141" spans="2:9" ht="15">
      <c r="H141" s="209" t="s">
        <v>1309</v>
      </c>
      <c r="I141" s="176" t="s">
        <v>1321</v>
      </c>
    </row>
    <row r="143" spans="2:9" ht="15">
      <c r="B143" s="414" t="s">
        <v>1622</v>
      </c>
      <c r="C143" s="398"/>
    </row>
    <row r="144" spans="2:9" ht="15">
      <c r="B144" s="415" t="s">
        <v>1623</v>
      </c>
      <c r="C144" s="398"/>
    </row>
    <row r="145" spans="2:9" ht="15">
      <c r="B145" s="416" t="s">
        <v>1614</v>
      </c>
      <c r="C145" s="398"/>
    </row>
    <row r="147" spans="2:9" ht="15">
      <c r="H147" s="209" t="s">
        <v>909</v>
      </c>
      <c r="I147" s="221" t="str">
        <f>IF(COUNTA(C143:C145)&lt;3,"À faire",IFERROR(IF(AND(C143=7,C144="Commander",C145="Commander"),"✓ Correct","À revoir"),"À revoir"))</f>
        <v>À faire</v>
      </c>
    </row>
    <row r="150" spans="2:9" ht="24.95" customHeight="1">
      <c r="B150" s="573" t="s">
        <v>1624</v>
      </c>
      <c r="C150" s="573"/>
      <c r="D150" s="573"/>
      <c r="E150" s="573"/>
      <c r="F150" s="573"/>
      <c r="G150" s="573"/>
      <c r="H150" s="219" t="s">
        <v>930</v>
      </c>
      <c r="I150" s="220" t="s">
        <v>902</v>
      </c>
    </row>
    <row r="152" spans="2:9" ht="86.1" customHeight="1">
      <c r="B152" s="575" t="s">
        <v>1625</v>
      </c>
      <c r="C152" s="575"/>
      <c r="D152" s="575"/>
      <c r="E152" s="575"/>
      <c r="F152" s="575"/>
      <c r="G152" s="575"/>
      <c r="H152" s="575"/>
      <c r="I152" s="575"/>
    </row>
    <row r="154" spans="2:9" ht="15">
      <c r="B154" s="209" t="s">
        <v>1225</v>
      </c>
      <c r="C154" s="209" t="s">
        <v>1310</v>
      </c>
      <c r="D154" s="209" t="s">
        <v>1311</v>
      </c>
    </row>
    <row r="155" spans="2:9">
      <c r="B155" s="408" t="s">
        <v>1313</v>
      </c>
      <c r="C155" s="227" t="s">
        <v>1314</v>
      </c>
      <c r="D155" s="410" t="s">
        <v>1315</v>
      </c>
    </row>
    <row r="156" spans="2:9">
      <c r="B156" s="408" t="s">
        <v>1316</v>
      </c>
      <c r="C156" s="227" t="s">
        <v>1317</v>
      </c>
      <c r="D156" s="410" t="s">
        <v>1315</v>
      </c>
    </row>
    <row r="157" spans="2:9">
      <c r="B157" s="408" t="s">
        <v>1318</v>
      </c>
      <c r="C157" s="227" t="s">
        <v>1319</v>
      </c>
      <c r="D157" s="410" t="s">
        <v>1320</v>
      </c>
    </row>
    <row r="158" spans="2:9">
      <c r="B158" s="408" t="s">
        <v>1321</v>
      </c>
      <c r="C158" s="227" t="s">
        <v>1322</v>
      </c>
      <c r="D158" s="410" t="s">
        <v>1323</v>
      </c>
    </row>
    <row r="159" spans="2:9">
      <c r="B159" s="408" t="s">
        <v>1324</v>
      </c>
      <c r="C159" s="227" t="s">
        <v>1325</v>
      </c>
      <c r="D159" s="410" t="s">
        <v>1326</v>
      </c>
    </row>
    <row r="161" spans="2:9" ht="30">
      <c r="H161" s="417" t="s">
        <v>1626</v>
      </c>
      <c r="I161" s="420" t="s">
        <v>1319</v>
      </c>
    </row>
    <row r="162" spans="2:9" ht="30">
      <c r="H162" s="418" t="s">
        <v>1627</v>
      </c>
      <c r="I162" s="421" t="s">
        <v>1628</v>
      </c>
    </row>
    <row r="164" spans="2:9" ht="15">
      <c r="B164" s="414" t="s">
        <v>1629</v>
      </c>
      <c r="C164" s="398"/>
    </row>
    <row r="165" spans="2:9" ht="15">
      <c r="B165" s="415" t="s">
        <v>1630</v>
      </c>
      <c r="C165" s="398"/>
    </row>
    <row r="166" spans="2:9" ht="15">
      <c r="B166" s="415" t="s">
        <v>1631</v>
      </c>
      <c r="C166" s="398"/>
    </row>
    <row r="167" spans="2:9" ht="15">
      <c r="B167" s="416" t="s">
        <v>1632</v>
      </c>
      <c r="C167" s="398"/>
    </row>
    <row r="169" spans="2:9" ht="15">
      <c r="H169" s="209" t="s">
        <v>909</v>
      </c>
      <c r="I169" s="221" t="str">
        <f>IF(COUNTA(C164:C167)&lt;4,"À faire",IFERROR(IF(AND(C164=3,C165="P-103",C166="P-103",C167="Produit inconnu"),"✓ Correct","À revoir"),"À revoir"))</f>
        <v>À faire</v>
      </c>
    </row>
    <row r="172" spans="2:9" ht="21.95" customHeight="1">
      <c r="B172" s="576" t="s">
        <v>1633</v>
      </c>
      <c r="C172" s="576"/>
      <c r="D172" s="576"/>
      <c r="E172" s="576"/>
      <c r="F172" s="576"/>
      <c r="G172" s="576"/>
      <c r="H172" s="576"/>
      <c r="I172" s="576"/>
    </row>
    <row r="174" spans="2:9" ht="24.95" customHeight="1">
      <c r="B174" s="573" t="s">
        <v>1634</v>
      </c>
      <c r="C174" s="573"/>
      <c r="D174" s="573"/>
      <c r="E174" s="573"/>
      <c r="F174" s="573"/>
      <c r="G174" s="573"/>
      <c r="H174" s="219" t="s">
        <v>930</v>
      </c>
      <c r="I174" s="207" t="s">
        <v>1386</v>
      </c>
    </row>
    <row r="175" spans="2:9" ht="21.95" customHeight="1">
      <c r="G175" s="578" t="s">
        <v>1620</v>
      </c>
      <c r="H175" s="578"/>
      <c r="I175" s="578"/>
    </row>
    <row r="176" spans="2:9" ht="75.95" customHeight="1">
      <c r="B176" s="575" t="s">
        <v>1635</v>
      </c>
      <c r="C176" s="575"/>
      <c r="D176" s="575"/>
      <c r="E176" s="575"/>
      <c r="F176" s="575"/>
      <c r="G176" s="575"/>
      <c r="H176" s="575"/>
      <c r="I176" s="575"/>
    </row>
    <row r="178" spans="2:9" ht="15">
      <c r="B178" s="209" t="s">
        <v>1272</v>
      </c>
      <c r="C178" s="209" t="s">
        <v>1636</v>
      </c>
      <c r="E178" s="209" t="s">
        <v>1636</v>
      </c>
      <c r="F178" s="209" t="s">
        <v>1087</v>
      </c>
      <c r="G178" s="209" t="s">
        <v>939</v>
      </c>
    </row>
    <row r="179" spans="2:9">
      <c r="B179" s="408" t="s">
        <v>1493</v>
      </c>
      <c r="C179" s="410" t="s">
        <v>1637</v>
      </c>
      <c r="E179" s="408" t="s">
        <v>1638</v>
      </c>
      <c r="F179" s="227" t="s">
        <v>1088</v>
      </c>
      <c r="G179" s="410" t="s">
        <v>1639</v>
      </c>
    </row>
    <row r="180" spans="2:9">
      <c r="B180" s="408" t="s">
        <v>1494</v>
      </c>
      <c r="C180" s="410" t="s">
        <v>1638</v>
      </c>
      <c r="E180" s="408" t="s">
        <v>1637</v>
      </c>
      <c r="F180" s="227" t="s">
        <v>964</v>
      </c>
      <c r="G180" s="410" t="s">
        <v>1640</v>
      </c>
    </row>
    <row r="181" spans="2:9">
      <c r="B181" s="408" t="s">
        <v>1495</v>
      </c>
      <c r="C181" s="410" t="s">
        <v>1641</v>
      </c>
      <c r="E181" s="408" t="s">
        <v>1642</v>
      </c>
      <c r="F181" s="227" t="s">
        <v>1089</v>
      </c>
      <c r="G181" s="410" t="s">
        <v>1643</v>
      </c>
    </row>
    <row r="182" spans="2:9">
      <c r="B182" s="408" t="s">
        <v>1496</v>
      </c>
      <c r="C182" s="410" t="s">
        <v>1642</v>
      </c>
      <c r="E182" s="408" t="s">
        <v>1641</v>
      </c>
      <c r="F182" s="227" t="s">
        <v>1500</v>
      </c>
      <c r="G182" s="410" t="s">
        <v>1644</v>
      </c>
    </row>
    <row r="184" spans="2:9" ht="15">
      <c r="H184" s="209" t="s">
        <v>1272</v>
      </c>
      <c r="I184" s="176" t="s">
        <v>1496</v>
      </c>
    </row>
    <row r="186" spans="2:9" ht="15">
      <c r="B186" s="414" t="s">
        <v>1645</v>
      </c>
      <c r="C186" s="398"/>
    </row>
    <row r="187" spans="2:9" ht="15">
      <c r="B187" s="415" t="s">
        <v>1646</v>
      </c>
      <c r="C187" s="398"/>
    </row>
    <row r="188" spans="2:9" ht="15">
      <c r="B188" s="416" t="s">
        <v>1614</v>
      </c>
      <c r="C188" s="398"/>
    </row>
    <row r="190" spans="2:9" ht="15">
      <c r="H190" s="209" t="s">
        <v>909</v>
      </c>
      <c r="I190" s="221" t="str">
        <f>IF(COUNTA(C186:C188)&lt;3,"À faire",IFERROR(IF(AND(C186="CL-03",C187="Sophie",C188="Sophie"),"✓ Correct","À revoir"),"À revoir"))</f>
        <v>À faire</v>
      </c>
    </row>
    <row r="193" spans="2:9" ht="24.95" customHeight="1">
      <c r="B193" s="573" t="s">
        <v>1647</v>
      </c>
      <c r="C193" s="573"/>
      <c r="D193" s="573"/>
      <c r="E193" s="573"/>
      <c r="F193" s="573"/>
      <c r="G193" s="573"/>
      <c r="H193" s="219" t="s">
        <v>930</v>
      </c>
      <c r="I193" s="224" t="s">
        <v>1292</v>
      </c>
    </row>
    <row r="194" spans="2:9" ht="21.95" customHeight="1">
      <c r="G194" s="578" t="s">
        <v>1620</v>
      </c>
      <c r="H194" s="578"/>
      <c r="I194" s="578"/>
    </row>
    <row r="195" spans="2:9" ht="86.1" customHeight="1">
      <c r="B195" s="575" t="s">
        <v>1648</v>
      </c>
      <c r="C195" s="575"/>
      <c r="D195" s="575"/>
      <c r="E195" s="575"/>
      <c r="F195" s="575"/>
      <c r="G195" s="575"/>
      <c r="H195" s="575"/>
      <c r="I195" s="575"/>
    </row>
    <row r="197" spans="2:9" ht="15">
      <c r="B197" s="209" t="s">
        <v>1649</v>
      </c>
      <c r="C197" s="209" t="s">
        <v>963</v>
      </c>
      <c r="D197" s="209" t="s">
        <v>1268</v>
      </c>
    </row>
    <row r="198" spans="2:9">
      <c r="B198" s="408" t="s">
        <v>1650</v>
      </c>
      <c r="C198" s="227" t="s">
        <v>1651</v>
      </c>
      <c r="D198" s="410" t="s">
        <v>1269</v>
      </c>
    </row>
    <row r="199" spans="2:9">
      <c r="B199" s="408" t="s">
        <v>1652</v>
      </c>
      <c r="C199" s="227" t="s">
        <v>1653</v>
      </c>
      <c r="D199" s="410" t="s">
        <v>1654</v>
      </c>
    </row>
    <row r="200" spans="2:9">
      <c r="B200" s="408" t="s">
        <v>1655</v>
      </c>
      <c r="C200" s="227" t="s">
        <v>1656</v>
      </c>
      <c r="D200" s="410" t="s">
        <v>1657</v>
      </c>
    </row>
    <row r="201" spans="2:9">
      <c r="B201" s="408" t="s">
        <v>1658</v>
      </c>
      <c r="C201" s="227" t="s">
        <v>1659</v>
      </c>
      <c r="D201" s="410" t="s">
        <v>1660</v>
      </c>
    </row>
    <row r="203" spans="2:9" ht="15">
      <c r="H203" s="209" t="s">
        <v>1649</v>
      </c>
      <c r="I203" s="176" t="s">
        <v>1650</v>
      </c>
    </row>
    <row r="205" spans="2:9" ht="15">
      <c r="B205" s="414" t="s">
        <v>1661</v>
      </c>
      <c r="C205" s="398"/>
    </row>
    <row r="206" spans="2:9" ht="15">
      <c r="B206" s="415" t="s">
        <v>1662</v>
      </c>
      <c r="C206" s="398"/>
    </row>
    <row r="207" spans="2:9" ht="15">
      <c r="B207" s="416" t="s">
        <v>1614</v>
      </c>
      <c r="C207" s="398"/>
    </row>
    <row r="209" spans="2:9" ht="15">
      <c r="H209" s="209" t="s">
        <v>909</v>
      </c>
      <c r="I209" s="221" t="str">
        <f>IF(COUNTA(C205:C207)&lt;3,"À faire",IFERROR(IF(AND(C205="claire.martin@exemple.fr",C206="claire.martin",C207="claire.martin"),"✓ Correct","À revoir"),"À revoir"))</f>
        <v>À faire</v>
      </c>
    </row>
    <row r="212" spans="2:9" ht="24.95" customHeight="1">
      <c r="B212" s="573" t="s">
        <v>1663</v>
      </c>
      <c r="C212" s="573"/>
      <c r="D212" s="573"/>
      <c r="E212" s="573"/>
      <c r="F212" s="573"/>
      <c r="G212" s="573"/>
      <c r="H212" s="219" t="s">
        <v>930</v>
      </c>
      <c r="I212" s="207" t="s">
        <v>1386</v>
      </c>
    </row>
    <row r="213" spans="2:9" ht="21.95" customHeight="1">
      <c r="G213" s="578" t="s">
        <v>1620</v>
      </c>
      <c r="H213" s="578"/>
      <c r="I213" s="578"/>
    </row>
    <row r="214" spans="2:9" ht="81.95" customHeight="1">
      <c r="B214" s="575" t="s">
        <v>1664</v>
      </c>
      <c r="C214" s="575"/>
      <c r="D214" s="575"/>
      <c r="E214" s="575"/>
      <c r="F214" s="575"/>
      <c r="G214" s="575"/>
      <c r="H214" s="575"/>
      <c r="I214" s="575"/>
    </row>
    <row r="216" spans="2:9" ht="15">
      <c r="B216" s="209" t="s">
        <v>1225</v>
      </c>
      <c r="C216" s="209" t="s">
        <v>1310</v>
      </c>
      <c r="D216" s="209" t="s">
        <v>1311</v>
      </c>
    </row>
    <row r="217" spans="2:9">
      <c r="B217" s="408" t="s">
        <v>1313</v>
      </c>
      <c r="C217" s="227" t="s">
        <v>1314</v>
      </c>
      <c r="D217" s="410" t="s">
        <v>1315</v>
      </c>
    </row>
    <row r="218" spans="2:9">
      <c r="B218" s="408" t="s">
        <v>1316</v>
      </c>
      <c r="C218" s="227" t="s">
        <v>1317</v>
      </c>
      <c r="D218" s="410" t="s">
        <v>1315</v>
      </c>
    </row>
    <row r="219" spans="2:9">
      <c r="B219" s="408" t="s">
        <v>1318</v>
      </c>
      <c r="C219" s="227" t="s">
        <v>1319</v>
      </c>
      <c r="D219" s="410" t="s">
        <v>1320</v>
      </c>
    </row>
    <row r="220" spans="2:9">
      <c r="B220" s="408" t="s">
        <v>1321</v>
      </c>
      <c r="C220" s="227" t="s">
        <v>1322</v>
      </c>
      <c r="D220" s="410" t="s">
        <v>1323</v>
      </c>
    </row>
    <row r="221" spans="2:9">
      <c r="B221" s="408" t="s">
        <v>1324</v>
      </c>
      <c r="C221" s="227" t="s">
        <v>1325</v>
      </c>
      <c r="D221" s="410" t="s">
        <v>1326</v>
      </c>
    </row>
    <row r="223" spans="2:9" ht="15">
      <c r="H223" s="209" t="s">
        <v>1309</v>
      </c>
      <c r="I223" s="176" t="s">
        <v>1318</v>
      </c>
    </row>
    <row r="225" spans="2:9" ht="15">
      <c r="B225" s="414" t="s">
        <v>1665</v>
      </c>
      <c r="C225" s="398"/>
    </row>
    <row r="226" spans="2:9" ht="15">
      <c r="B226" s="415" t="s">
        <v>1666</v>
      </c>
      <c r="C226" s="398"/>
    </row>
    <row r="227" spans="2:9" ht="15">
      <c r="B227" s="415" t="s">
        <v>1667</v>
      </c>
      <c r="C227" s="398"/>
    </row>
    <row r="228" spans="2:9" ht="15">
      <c r="B228" s="416" t="s">
        <v>1614</v>
      </c>
      <c r="C228" s="398"/>
    </row>
    <row r="230" spans="2:9" ht="15">
      <c r="H230" s="209" t="s">
        <v>909</v>
      </c>
      <c r="I230" s="221" t="str">
        <f>IF(COUNTA(C225:C228)&lt;4,"À faire",IFERROR(IF(AND(C225="Support écran",C226="Mobilier",C227="Support écran | Mobilier",C228="Support écran | Mobilier"),"✓ Correct","À revoir"),"À revoir"))</f>
        <v>À faire</v>
      </c>
    </row>
    <row r="233" spans="2:9" ht="21.95" customHeight="1">
      <c r="B233" s="576" t="s">
        <v>1668</v>
      </c>
      <c r="C233" s="576"/>
      <c r="D233" s="576"/>
      <c r="E233" s="576"/>
      <c r="F233" s="576"/>
      <c r="G233" s="576"/>
      <c r="H233" s="576"/>
      <c r="I233" s="576"/>
    </row>
    <row r="235" spans="2:9" ht="24.95" customHeight="1">
      <c r="B235" s="573" t="s">
        <v>1669</v>
      </c>
      <c r="C235" s="573"/>
      <c r="D235" s="573"/>
      <c r="E235" s="573"/>
      <c r="F235" s="573"/>
      <c r="G235" s="573"/>
      <c r="H235" s="219" t="s">
        <v>947</v>
      </c>
      <c r="I235" s="220" t="s">
        <v>902</v>
      </c>
    </row>
    <row r="237" spans="2:9" ht="81.95" customHeight="1">
      <c r="B237" s="575" t="s">
        <v>1670</v>
      </c>
      <c r="C237" s="575"/>
      <c r="D237" s="575"/>
      <c r="E237" s="575"/>
      <c r="F237" s="575"/>
      <c r="G237" s="575"/>
      <c r="H237" s="575"/>
      <c r="I237" s="575"/>
    </row>
    <row r="239" spans="2:9" ht="15">
      <c r="B239" s="209" t="s">
        <v>1671</v>
      </c>
      <c r="C239" s="209" t="s">
        <v>934</v>
      </c>
      <c r="D239" s="209" t="s">
        <v>935</v>
      </c>
      <c r="E239" s="209" t="s">
        <v>1084</v>
      </c>
      <c r="F239" s="209" t="s">
        <v>936</v>
      </c>
    </row>
    <row r="240" spans="2:9">
      <c r="B240" s="408" t="s">
        <v>1672</v>
      </c>
      <c r="C240" s="411">
        <v>25.9</v>
      </c>
      <c r="D240" s="411">
        <v>20.9</v>
      </c>
      <c r="E240" s="411">
        <v>141.9</v>
      </c>
      <c r="F240" s="409">
        <v>31.9</v>
      </c>
    </row>
    <row r="241" spans="2:9">
      <c r="B241" s="408" t="s">
        <v>1673</v>
      </c>
      <c r="C241" s="411">
        <v>24.9</v>
      </c>
      <c r="D241" s="411">
        <v>19.899999999999999</v>
      </c>
      <c r="E241" s="411">
        <v>139.9</v>
      </c>
      <c r="F241" s="409">
        <v>29.9</v>
      </c>
    </row>
    <row r="242" spans="2:9">
      <c r="B242" s="408" t="s">
        <v>1674</v>
      </c>
      <c r="C242" s="411">
        <v>26.9</v>
      </c>
      <c r="D242" s="411">
        <v>21.9</v>
      </c>
      <c r="E242" s="411">
        <v>142.9</v>
      </c>
      <c r="F242" s="409">
        <v>32.9</v>
      </c>
    </row>
    <row r="243" spans="2:9">
      <c r="B243" s="408" t="s">
        <v>1675</v>
      </c>
      <c r="C243" s="411">
        <v>23.9</v>
      </c>
      <c r="D243" s="411">
        <v>18.899999999999999</v>
      </c>
      <c r="E243" s="411">
        <v>138.9</v>
      </c>
      <c r="F243" s="409">
        <v>28.9</v>
      </c>
    </row>
    <row r="245" spans="2:9" ht="15">
      <c r="H245" s="417" t="s">
        <v>1671</v>
      </c>
      <c r="I245" s="420" t="s">
        <v>1674</v>
      </c>
    </row>
    <row r="246" spans="2:9" ht="15">
      <c r="H246" s="418" t="s">
        <v>24</v>
      </c>
      <c r="I246" s="421" t="s">
        <v>935</v>
      </c>
    </row>
    <row r="248" spans="2:9" ht="15">
      <c r="B248" s="414" t="s">
        <v>1676</v>
      </c>
      <c r="C248" s="398"/>
    </row>
    <row r="249" spans="2:9" ht="15">
      <c r="B249" s="415" t="s">
        <v>1677</v>
      </c>
      <c r="C249" s="398"/>
    </row>
    <row r="250" spans="2:9" ht="15">
      <c r="B250" s="415" t="s">
        <v>1678</v>
      </c>
      <c r="C250" s="398"/>
    </row>
    <row r="251" spans="2:9" ht="15">
      <c r="B251" s="416" t="s">
        <v>1614</v>
      </c>
      <c r="C251" s="398"/>
    </row>
    <row r="253" spans="2:9" ht="15">
      <c r="H253" s="209" t="s">
        <v>909</v>
      </c>
      <c r="I253" s="221" t="str">
        <f>IF(COUNTA(C248:C251)&lt;4,"À faire",IFERROR(IF(AND(C248=3,C249=2,ABS(C250-21.9)&lt;0.0001,ABS(C251-21.9)&lt;0.0001),"✓ Correct","À revoir"),"À revoir"))</f>
        <v>À faire</v>
      </c>
    </row>
    <row r="256" spans="2:9" ht="24.95" customHeight="1">
      <c r="B256" s="573" t="s">
        <v>1679</v>
      </c>
      <c r="C256" s="573"/>
      <c r="D256" s="573"/>
      <c r="E256" s="573"/>
      <c r="F256" s="573"/>
      <c r="G256" s="573"/>
      <c r="H256" s="219" t="s">
        <v>930</v>
      </c>
      <c r="I256" s="207" t="s">
        <v>1386</v>
      </c>
    </row>
    <row r="257" spans="2:9" ht="21.95" customHeight="1">
      <c r="G257" s="578" t="s">
        <v>1620</v>
      </c>
      <c r="H257" s="578"/>
      <c r="I257" s="578"/>
    </row>
    <row r="258" spans="2:9" ht="72" customHeight="1">
      <c r="B258" s="575" t="s">
        <v>1680</v>
      </c>
      <c r="C258" s="575"/>
      <c r="D258" s="575"/>
      <c r="E258" s="575"/>
      <c r="F258" s="575"/>
      <c r="G258" s="575"/>
      <c r="H258" s="575"/>
      <c r="I258" s="575"/>
    </row>
    <row r="260" spans="2:9" ht="15">
      <c r="B260" s="209" t="s">
        <v>1309</v>
      </c>
      <c r="C260" s="209" t="s">
        <v>1311</v>
      </c>
      <c r="E260" s="209" t="s">
        <v>1311</v>
      </c>
      <c r="F260" s="209" t="s">
        <v>1347</v>
      </c>
    </row>
    <row r="261" spans="2:9">
      <c r="B261" s="408" t="s">
        <v>1313</v>
      </c>
      <c r="C261" s="410" t="s">
        <v>1315</v>
      </c>
      <c r="E261" s="408" t="s">
        <v>1315</v>
      </c>
      <c r="F261" s="228">
        <v>0.05</v>
      </c>
    </row>
    <row r="262" spans="2:9">
      <c r="B262" s="408" t="s">
        <v>1316</v>
      </c>
      <c r="C262" s="410" t="s">
        <v>1320</v>
      </c>
      <c r="E262" s="408" t="s">
        <v>1320</v>
      </c>
      <c r="F262" s="228">
        <v>0.1</v>
      </c>
    </row>
    <row r="263" spans="2:9">
      <c r="B263" s="408" t="s">
        <v>1318</v>
      </c>
      <c r="C263" s="410" t="s">
        <v>1326</v>
      </c>
      <c r="E263" s="408" t="s">
        <v>1326</v>
      </c>
      <c r="F263" s="228">
        <v>0.08</v>
      </c>
    </row>
    <row r="264" spans="2:9">
      <c r="B264" s="408" t="s">
        <v>1321</v>
      </c>
      <c r="C264" s="410" t="s">
        <v>1323</v>
      </c>
      <c r="E264" s="408" t="s">
        <v>1323</v>
      </c>
      <c r="F264" s="228">
        <v>0.06</v>
      </c>
    </row>
    <row r="266" spans="2:9" ht="15">
      <c r="H266" s="209" t="s">
        <v>1309</v>
      </c>
      <c r="I266" s="176" t="s">
        <v>1316</v>
      </c>
    </row>
    <row r="268" spans="2:9" ht="15">
      <c r="B268" s="414" t="s">
        <v>1681</v>
      </c>
      <c r="C268" s="398"/>
    </row>
    <row r="269" spans="2:9" ht="15">
      <c r="B269" s="415" t="s">
        <v>1682</v>
      </c>
      <c r="C269" s="398"/>
    </row>
    <row r="270" spans="2:9" ht="15">
      <c r="B270" s="416" t="s">
        <v>1614</v>
      </c>
      <c r="C270" s="398"/>
    </row>
    <row r="272" spans="2:9" ht="15">
      <c r="H272" s="209" t="s">
        <v>909</v>
      </c>
      <c r="I272" s="221" t="str">
        <f>IF(COUNTA(C268:C270)&lt;3,"À faire",IFERROR(IF(AND(C268="Mobilier",ABS(C269-0.1)&lt;0.0001,ABS(C270-0.1)&lt;0.0001),"✓ Correct","À revoir"),"À revoir"))</f>
        <v>À faire</v>
      </c>
    </row>
    <row r="275" spans="2:9" ht="24.95" customHeight="1">
      <c r="B275" s="573" t="s">
        <v>1683</v>
      </c>
      <c r="C275" s="573"/>
      <c r="D275" s="573"/>
      <c r="E275" s="573"/>
      <c r="F275" s="573"/>
      <c r="G275" s="573"/>
      <c r="H275" s="219" t="s">
        <v>947</v>
      </c>
      <c r="I275" s="207" t="s">
        <v>1386</v>
      </c>
    </row>
    <row r="276" spans="2:9" ht="21.95" customHeight="1">
      <c r="G276" s="578" t="s">
        <v>1620</v>
      </c>
      <c r="H276" s="578"/>
      <c r="I276" s="578"/>
    </row>
    <row r="277" spans="2:9" ht="81.95" customHeight="1">
      <c r="B277" s="575" t="s">
        <v>1684</v>
      </c>
      <c r="C277" s="575"/>
      <c r="D277" s="575"/>
      <c r="E277" s="575"/>
      <c r="F277" s="575"/>
      <c r="G277" s="575"/>
      <c r="H277" s="575"/>
      <c r="I277" s="575"/>
    </row>
    <row r="279" spans="2:9" ht="15">
      <c r="B279" s="209" t="s">
        <v>1225</v>
      </c>
      <c r="C279" s="209" t="s">
        <v>1311</v>
      </c>
      <c r="D279" s="209" t="s">
        <v>1441</v>
      </c>
      <c r="F279" s="209" t="s">
        <v>1311</v>
      </c>
      <c r="G279" s="209" t="s">
        <v>1347</v>
      </c>
    </row>
    <row r="280" spans="2:9">
      <c r="B280" s="408" t="s">
        <v>1313</v>
      </c>
      <c r="C280" s="227" t="s">
        <v>1315</v>
      </c>
      <c r="D280" s="409">
        <v>24.9</v>
      </c>
      <c r="F280" s="408" t="s">
        <v>1315</v>
      </c>
      <c r="G280" s="228">
        <v>0.05</v>
      </c>
    </row>
    <row r="281" spans="2:9">
      <c r="B281" s="408" t="s">
        <v>1316</v>
      </c>
      <c r="C281" s="227" t="s">
        <v>1315</v>
      </c>
      <c r="D281" s="409">
        <v>19.899999999999999</v>
      </c>
      <c r="F281" s="408" t="s">
        <v>1320</v>
      </c>
      <c r="G281" s="228">
        <v>0.1</v>
      </c>
    </row>
    <row r="282" spans="2:9">
      <c r="B282" s="408" t="s">
        <v>1318</v>
      </c>
      <c r="C282" s="227" t="s">
        <v>1320</v>
      </c>
      <c r="D282" s="409">
        <v>34.549999999999997</v>
      </c>
      <c r="F282" s="408" t="s">
        <v>1323</v>
      </c>
      <c r="G282" s="228">
        <v>0.08</v>
      </c>
    </row>
    <row r="283" spans="2:9">
      <c r="B283" s="408" t="s">
        <v>1321</v>
      </c>
      <c r="C283" s="227" t="s">
        <v>1323</v>
      </c>
      <c r="D283" s="409">
        <v>139.9</v>
      </c>
    </row>
    <row r="285" spans="2:9" ht="15">
      <c r="H285" s="417" t="s">
        <v>1309</v>
      </c>
      <c r="I285" s="420" t="s">
        <v>1318</v>
      </c>
    </row>
    <row r="286" spans="2:9" ht="15">
      <c r="H286" s="418" t="s">
        <v>932</v>
      </c>
      <c r="I286" s="421">
        <v>4</v>
      </c>
    </row>
    <row r="288" spans="2:9" ht="15">
      <c r="B288" s="414" t="s">
        <v>1685</v>
      </c>
      <c r="C288" s="398"/>
    </row>
    <row r="289" spans="2:9" ht="15">
      <c r="B289" s="415" t="s">
        <v>1666</v>
      </c>
      <c r="C289" s="398"/>
    </row>
    <row r="290" spans="2:9" ht="15">
      <c r="B290" s="415" t="s">
        <v>1686</v>
      </c>
      <c r="C290" s="398"/>
    </row>
    <row r="291" spans="2:9" ht="15">
      <c r="B291" s="415" t="s">
        <v>1687</v>
      </c>
      <c r="C291" s="398"/>
    </row>
    <row r="292" spans="2:9" ht="15">
      <c r="B292" s="415" t="s">
        <v>1688</v>
      </c>
      <c r="C292" s="398"/>
    </row>
    <row r="293" spans="2:9" ht="15">
      <c r="B293" s="416" t="s">
        <v>1614</v>
      </c>
      <c r="C293" s="398"/>
    </row>
    <row r="295" spans="2:9" ht="15">
      <c r="H295" s="209" t="s">
        <v>909</v>
      </c>
      <c r="I295" s="221" t="str">
        <f>IF(COUNTA(C288:C293)&lt;6,"À faire",IFERROR(IF(AND(ABS(C288-34.55)&lt;0.0001,C289="Mobilier",ABS(C290-0.1)&lt;0.0001,ABS(C291-138.2)&lt;0.0001,ABS(C292-124.38)&lt;0.0001,ABS(C293-124.38)&lt;0.0001),"✓ Correct","À revoir"),"À revoir"))</f>
        <v>À faire</v>
      </c>
    </row>
    <row r="298" spans="2:9" ht="24.95" customHeight="1">
      <c r="B298" s="573" t="s">
        <v>1689</v>
      </c>
      <c r="C298" s="573"/>
      <c r="D298" s="573"/>
      <c r="E298" s="573"/>
      <c r="F298" s="573"/>
      <c r="G298" s="573"/>
      <c r="H298" s="219" t="s">
        <v>947</v>
      </c>
      <c r="I298" s="207" t="s">
        <v>1386</v>
      </c>
    </row>
    <row r="299" spans="2:9" ht="21.95" customHeight="1">
      <c r="G299" s="578" t="s">
        <v>1620</v>
      </c>
      <c r="H299" s="578"/>
      <c r="I299" s="578"/>
    </row>
    <row r="300" spans="2:9" ht="84" customHeight="1">
      <c r="B300" s="575" t="s">
        <v>1690</v>
      </c>
      <c r="C300" s="575"/>
      <c r="D300" s="575"/>
      <c r="E300" s="575"/>
      <c r="F300" s="575"/>
      <c r="G300" s="575"/>
      <c r="H300" s="575"/>
      <c r="I300" s="575"/>
    </row>
    <row r="302" spans="2:9" ht="16.5" customHeight="1">
      <c r="B302" s="209" t="s">
        <v>1272</v>
      </c>
      <c r="C302" s="209" t="s">
        <v>1309</v>
      </c>
      <c r="D302" s="209" t="s">
        <v>932</v>
      </c>
      <c r="F302" s="209" t="s">
        <v>1309</v>
      </c>
      <c r="G302" s="209" t="s">
        <v>933</v>
      </c>
    </row>
    <row r="303" spans="2:9">
      <c r="B303" s="408" t="s">
        <v>1691</v>
      </c>
      <c r="C303" s="227" t="s">
        <v>1313</v>
      </c>
      <c r="D303" s="410">
        <v>2</v>
      </c>
      <c r="F303" s="408" t="s">
        <v>1313</v>
      </c>
      <c r="G303" s="409">
        <v>24.9</v>
      </c>
    </row>
    <row r="304" spans="2:9">
      <c r="B304" s="408" t="s">
        <v>1692</v>
      </c>
      <c r="C304" s="227" t="s">
        <v>1318</v>
      </c>
      <c r="D304" s="410">
        <v>5</v>
      </c>
      <c r="F304" s="408" t="s">
        <v>1316</v>
      </c>
      <c r="G304" s="409">
        <v>19.899999999999999</v>
      </c>
    </row>
    <row r="305" spans="2:9">
      <c r="B305" s="408" t="s">
        <v>1693</v>
      </c>
      <c r="C305" s="227" t="s">
        <v>1321</v>
      </c>
      <c r="D305" s="410">
        <v>3</v>
      </c>
      <c r="F305" s="408" t="s">
        <v>1318</v>
      </c>
      <c r="G305" s="409">
        <v>34.549999999999997</v>
      </c>
    </row>
    <row r="306" spans="2:9">
      <c r="B306" s="408" t="s">
        <v>1694</v>
      </c>
      <c r="C306" s="227" t="s">
        <v>1316</v>
      </c>
      <c r="D306" s="410">
        <v>4</v>
      </c>
      <c r="F306" s="408" t="s">
        <v>1321</v>
      </c>
      <c r="G306" s="409">
        <v>139.9</v>
      </c>
    </row>
    <row r="308" spans="2:9" ht="15">
      <c r="H308" s="209" t="s">
        <v>1272</v>
      </c>
      <c r="I308" s="176" t="s">
        <v>1693</v>
      </c>
    </row>
    <row r="310" spans="2:9" ht="15">
      <c r="B310" s="414" t="s">
        <v>1695</v>
      </c>
      <c r="C310" s="398"/>
    </row>
    <row r="311" spans="2:9" ht="15">
      <c r="B311" s="415" t="s">
        <v>1696</v>
      </c>
      <c r="C311" s="398"/>
    </row>
    <row r="312" spans="2:9" ht="15">
      <c r="B312" s="415" t="s">
        <v>1697</v>
      </c>
      <c r="C312" s="398"/>
    </row>
    <row r="313" spans="2:9" ht="15">
      <c r="B313" s="415" t="s">
        <v>1698</v>
      </c>
      <c r="C313" s="398"/>
    </row>
    <row r="314" spans="2:9" ht="15">
      <c r="B314" s="416" t="s">
        <v>1614</v>
      </c>
      <c r="C314" s="398"/>
    </row>
    <row r="316" spans="2:9" ht="15">
      <c r="H316" s="209" t="s">
        <v>909</v>
      </c>
      <c r="I316" s="221" t="str">
        <f>IF(COUNTA(C310:C314)&lt;5,"À faire",IFERROR(IF(AND(C310="P-104",C311=3,ABS(C312-139.9)&lt;0.0001,ABS(C313-419.7)&lt;0.0001,ABS(C314-419.7)&lt;0.0001),"✓ Correct","À revoir"),"À revoir"))</f>
        <v>À faire</v>
      </c>
    </row>
    <row r="317" spans="2:9" ht="21.95" customHeight="1">
      <c r="B317" s="576" t="s">
        <v>1699</v>
      </c>
      <c r="C317" s="576"/>
      <c r="D317" s="576"/>
      <c r="E317" s="576"/>
      <c r="F317" s="576"/>
      <c r="G317" s="576"/>
      <c r="H317" s="576"/>
      <c r="I317" s="576"/>
    </row>
    <row r="319" spans="2:9" ht="24.95" customHeight="1">
      <c r="B319" s="573" t="s">
        <v>1700</v>
      </c>
      <c r="C319" s="573"/>
      <c r="D319" s="573"/>
      <c r="E319" s="573"/>
      <c r="F319" s="573"/>
      <c r="G319" s="573"/>
      <c r="H319" s="219" t="s">
        <v>901</v>
      </c>
      <c r="I319" s="220" t="s">
        <v>902</v>
      </c>
    </row>
    <row r="321" spans="2:9" ht="66" customHeight="1">
      <c r="B321" s="575" t="s">
        <v>1701</v>
      </c>
      <c r="C321" s="575"/>
      <c r="D321" s="575"/>
      <c r="E321" s="575"/>
      <c r="F321" s="575"/>
      <c r="G321" s="575"/>
      <c r="H321" s="575"/>
      <c r="I321" s="575"/>
    </row>
    <row r="323" spans="2:9" ht="15">
      <c r="B323" s="209" t="s">
        <v>1702</v>
      </c>
    </row>
    <row r="324" spans="2:9">
      <c r="B324" s="222" t="s">
        <v>1703</v>
      </c>
    </row>
    <row r="326" spans="2:9" ht="15">
      <c r="B326" s="208" t="s">
        <v>927</v>
      </c>
      <c r="C326" s="398"/>
    </row>
    <row r="328" spans="2:9" ht="15">
      <c r="H328" s="209" t="s">
        <v>909</v>
      </c>
      <c r="I328" s="225" t="str">
        <f>IF(C326="","À faire",IFERROR(IF(C326="Martin-Claire","✓ Correct","À revoir"),"À revoir"))</f>
        <v>À faire</v>
      </c>
    </row>
    <row r="331" spans="2:9" ht="24.95" customHeight="1">
      <c r="B331" s="573" t="s">
        <v>1704</v>
      </c>
      <c r="C331" s="573"/>
      <c r="D331" s="573"/>
      <c r="E331" s="573"/>
      <c r="F331" s="573"/>
      <c r="G331" s="573"/>
      <c r="H331" s="219" t="s">
        <v>930</v>
      </c>
      <c r="I331" s="220" t="s">
        <v>902</v>
      </c>
    </row>
    <row r="333" spans="2:9" ht="72" customHeight="1">
      <c r="B333" s="575" t="s">
        <v>1705</v>
      </c>
      <c r="C333" s="575"/>
      <c r="D333" s="575"/>
      <c r="E333" s="575"/>
      <c r="F333" s="575"/>
      <c r="G333" s="575"/>
      <c r="H333" s="575"/>
      <c r="I333" s="575"/>
    </row>
    <row r="335" spans="2:9" ht="15">
      <c r="B335" s="209" t="s">
        <v>1706</v>
      </c>
    </row>
    <row r="336" spans="2:9">
      <c r="B336" s="222" t="s">
        <v>1707</v>
      </c>
    </row>
    <row r="338" spans="2:9" ht="15">
      <c r="B338" s="208" t="s">
        <v>927</v>
      </c>
      <c r="C338" s="398"/>
    </row>
    <row r="340" spans="2:9" ht="15">
      <c r="H340" s="209" t="s">
        <v>909</v>
      </c>
      <c r="I340" s="225" t="str">
        <f>IF(C338="","À faire",IFERROR(IF(C338="OK","✓ Correct","À revoir"),"À revoir"))</f>
        <v>À faire</v>
      </c>
    </row>
    <row r="343" spans="2:9" ht="21.95" customHeight="1">
      <c r="B343" s="576" t="s">
        <v>1708</v>
      </c>
      <c r="C343" s="576"/>
      <c r="D343" s="576"/>
      <c r="E343" s="576"/>
      <c r="F343" s="576"/>
      <c r="G343" s="576"/>
      <c r="H343" s="576"/>
      <c r="I343" s="576"/>
    </row>
    <row r="345" spans="2:9" ht="24.95" customHeight="1">
      <c r="B345" s="573" t="s">
        <v>1709</v>
      </c>
      <c r="C345" s="573"/>
      <c r="D345" s="573"/>
      <c r="E345" s="573"/>
      <c r="F345" s="573"/>
      <c r="G345" s="573"/>
      <c r="H345" s="219" t="s">
        <v>930</v>
      </c>
      <c r="I345" s="207" t="s">
        <v>1386</v>
      </c>
    </row>
    <row r="347" spans="2:9" ht="75.95" customHeight="1">
      <c r="B347" s="575" t="s">
        <v>1710</v>
      </c>
      <c r="C347" s="575"/>
      <c r="D347" s="575"/>
      <c r="E347" s="575"/>
      <c r="F347" s="575"/>
      <c r="G347" s="575"/>
      <c r="H347" s="575"/>
      <c r="I347" s="575"/>
    </row>
    <row r="349" spans="2:9" ht="15">
      <c r="B349" s="209" t="s">
        <v>1087</v>
      </c>
      <c r="C349" s="209" t="s">
        <v>1097</v>
      </c>
    </row>
    <row r="350" spans="2:9">
      <c r="B350" s="408" t="s">
        <v>964</v>
      </c>
      <c r="C350" s="410" t="s">
        <v>1098</v>
      </c>
    </row>
    <row r="351" spans="2:9">
      <c r="B351" s="408" t="s">
        <v>1500</v>
      </c>
      <c r="C351" s="410" t="s">
        <v>1099</v>
      </c>
    </row>
    <row r="352" spans="2:9">
      <c r="B352" s="408" t="s">
        <v>1089</v>
      </c>
      <c r="C352" s="410" t="s">
        <v>1098</v>
      </c>
    </row>
    <row r="353" spans="2:9">
      <c r="B353" s="408" t="s">
        <v>1711</v>
      </c>
      <c r="C353" s="410" t="s">
        <v>1105</v>
      </c>
    </row>
    <row r="354" spans="2:9">
      <c r="B354" s="408" t="s">
        <v>1088</v>
      </c>
      <c r="C354" s="410" t="s">
        <v>1098</v>
      </c>
    </row>
    <row r="356" spans="2:9" ht="15">
      <c r="B356" s="208" t="s">
        <v>927</v>
      </c>
      <c r="C356" s="398"/>
    </row>
    <row r="358" spans="2:9" ht="15">
      <c r="H358" s="209" t="s">
        <v>909</v>
      </c>
      <c r="I358" s="225" t="str">
        <f>IF(C356="","À faire",IFERROR(IF(C356="Martin - Leroy - Dupont","✓ Correct","À revoir"),"À revoir"))</f>
        <v>À faire</v>
      </c>
    </row>
    <row r="361" spans="2:9" ht="24.95" customHeight="1">
      <c r="B361" s="573" t="s">
        <v>1712</v>
      </c>
      <c r="C361" s="573"/>
      <c r="D361" s="573"/>
      <c r="E361" s="573"/>
      <c r="F361" s="573"/>
      <c r="G361" s="573"/>
      <c r="H361" s="219" t="s">
        <v>930</v>
      </c>
      <c r="I361" s="207" t="s">
        <v>1386</v>
      </c>
    </row>
    <row r="363" spans="2:9" ht="75.95" customHeight="1">
      <c r="B363" s="575" t="s">
        <v>1713</v>
      </c>
      <c r="C363" s="575"/>
      <c r="D363" s="575"/>
      <c r="E363" s="575"/>
      <c r="F363" s="575"/>
      <c r="G363" s="575"/>
      <c r="H363" s="575"/>
      <c r="I363" s="575"/>
    </row>
    <row r="365" spans="2:9" ht="15">
      <c r="B365" s="209" t="s">
        <v>1097</v>
      </c>
      <c r="C365" s="209" t="s">
        <v>932</v>
      </c>
      <c r="D365" s="209" t="s">
        <v>933</v>
      </c>
    </row>
    <row r="366" spans="2:9">
      <c r="B366" s="408" t="s">
        <v>1098</v>
      </c>
      <c r="C366" s="411">
        <v>3</v>
      </c>
      <c r="D366" s="409">
        <v>120</v>
      </c>
    </row>
    <row r="367" spans="2:9">
      <c r="B367" s="408" t="s">
        <v>1099</v>
      </c>
      <c r="C367" s="411">
        <v>10</v>
      </c>
      <c r="D367" s="409">
        <v>95</v>
      </c>
    </row>
    <row r="368" spans="2:9">
      <c r="B368" s="408" t="s">
        <v>1098</v>
      </c>
      <c r="C368" s="411">
        <v>7</v>
      </c>
      <c r="D368" s="409">
        <v>84</v>
      </c>
    </row>
    <row r="369" spans="2:9">
      <c r="B369" s="408" t="s">
        <v>1105</v>
      </c>
      <c r="C369" s="411">
        <v>6</v>
      </c>
      <c r="D369" s="409">
        <v>110</v>
      </c>
    </row>
    <row r="370" spans="2:9">
      <c r="B370" s="408" t="s">
        <v>1098</v>
      </c>
      <c r="C370" s="409">
        <v>4</v>
      </c>
      <c r="D370" s="412">
        <v>130</v>
      </c>
    </row>
    <row r="372" spans="2:9" ht="15">
      <c r="B372" s="208" t="s">
        <v>927</v>
      </c>
      <c r="C372" s="398"/>
    </row>
    <row r="374" spans="2:9" ht="15">
      <c r="H374" s="209" t="s">
        <v>909</v>
      </c>
      <c r="I374" s="225" t="str">
        <f>IF(C372="","À faire",IFERROR(IF(ABS(C372-588)&lt;0.0001,"✓ Correct","À revoir"),"À revoir"))</f>
        <v>À faire</v>
      </c>
    </row>
    <row r="377" spans="2:9" ht="24.95" customHeight="1">
      <c r="B377" s="573" t="s">
        <v>1714</v>
      </c>
      <c r="C377" s="573"/>
      <c r="D377" s="573"/>
      <c r="E377" s="573"/>
      <c r="F377" s="573"/>
      <c r="G377" s="573"/>
      <c r="H377" s="219" t="s">
        <v>930</v>
      </c>
      <c r="I377" s="207" t="s">
        <v>1386</v>
      </c>
    </row>
    <row r="379" spans="2:9" ht="72" customHeight="1">
      <c r="B379" s="575" t="s">
        <v>1715</v>
      </c>
      <c r="C379" s="575"/>
      <c r="D379" s="575"/>
      <c r="E379" s="575"/>
      <c r="F379" s="575"/>
      <c r="G379" s="575"/>
      <c r="H379" s="575"/>
      <c r="I379" s="575"/>
    </row>
    <row r="381" spans="2:9" ht="15">
      <c r="B381" s="209" t="s">
        <v>1087</v>
      </c>
      <c r="C381" s="209" t="s">
        <v>1097</v>
      </c>
      <c r="D381" s="209" t="s">
        <v>24</v>
      </c>
      <c r="E381" s="209" t="s">
        <v>26</v>
      </c>
    </row>
    <row r="382" spans="2:9">
      <c r="B382" s="408" t="s">
        <v>964</v>
      </c>
      <c r="C382" s="227" t="s">
        <v>1098</v>
      </c>
      <c r="D382" s="227" t="s">
        <v>934</v>
      </c>
      <c r="E382" s="409">
        <v>480</v>
      </c>
    </row>
    <row r="383" spans="2:9">
      <c r="B383" s="408" t="s">
        <v>1500</v>
      </c>
      <c r="C383" s="227" t="s">
        <v>1099</v>
      </c>
      <c r="D383" s="227" t="s">
        <v>935</v>
      </c>
      <c r="E383" s="409">
        <v>320</v>
      </c>
    </row>
    <row r="384" spans="2:9">
      <c r="B384" s="408" t="s">
        <v>1089</v>
      </c>
      <c r="C384" s="227" t="s">
        <v>1098</v>
      </c>
      <c r="D384" s="227" t="s">
        <v>1716</v>
      </c>
      <c r="E384" s="409">
        <v>820</v>
      </c>
    </row>
    <row r="385" spans="2:9">
      <c r="B385" s="408" t="s">
        <v>1711</v>
      </c>
      <c r="C385" s="227" t="s">
        <v>1099</v>
      </c>
      <c r="D385" s="227" t="s">
        <v>936</v>
      </c>
      <c r="E385" s="409">
        <v>210</v>
      </c>
    </row>
    <row r="386" spans="2:9">
      <c r="B386" s="408" t="s">
        <v>1088</v>
      </c>
      <c r="C386" s="227" t="s">
        <v>1098</v>
      </c>
      <c r="D386" s="227" t="s">
        <v>1717</v>
      </c>
      <c r="E386" s="409">
        <v>560</v>
      </c>
    </row>
    <row r="388" spans="2:9" ht="15">
      <c r="B388" s="208" t="s">
        <v>927</v>
      </c>
      <c r="C388" s="398"/>
    </row>
    <row r="390" spans="2:9" ht="15">
      <c r="H390" s="209" t="s">
        <v>909</v>
      </c>
      <c r="I390" s="225" t="str">
        <f>IF(C388="","À faire",IFERROR(IF(C388="Souris","✓ Correct","À revoir"),"À revoir"))</f>
        <v>À faire</v>
      </c>
    </row>
    <row r="393" spans="2:9" ht="21.95" customHeight="1">
      <c r="B393" s="576" t="s">
        <v>1718</v>
      </c>
      <c r="C393" s="576"/>
      <c r="D393" s="576"/>
      <c r="E393" s="576"/>
      <c r="F393" s="576"/>
      <c r="G393" s="576"/>
      <c r="H393" s="576"/>
      <c r="I393" s="576"/>
    </row>
    <row r="395" spans="2:9" ht="24.95" customHeight="1">
      <c r="B395" s="573" t="s">
        <v>1719</v>
      </c>
      <c r="C395" s="573"/>
      <c r="D395" s="573"/>
      <c r="E395" s="573"/>
      <c r="F395" s="573"/>
      <c r="G395" s="573"/>
      <c r="H395" s="219" t="s">
        <v>947</v>
      </c>
      <c r="I395" s="220" t="s">
        <v>902</v>
      </c>
    </row>
    <row r="397" spans="2:9" ht="96" customHeight="1">
      <c r="B397" s="575" t="s">
        <v>1720</v>
      </c>
      <c r="C397" s="575"/>
      <c r="D397" s="575"/>
      <c r="E397" s="575"/>
      <c r="F397" s="575"/>
      <c r="G397" s="575"/>
      <c r="H397" s="575"/>
      <c r="I397" s="575"/>
    </row>
    <row r="399" spans="2:9" ht="15">
      <c r="B399" s="209" t="s">
        <v>1225</v>
      </c>
    </row>
    <row r="400" spans="2:9">
      <c r="B400" s="222" t="s">
        <v>1721</v>
      </c>
    </row>
    <row r="402" spans="2:9" ht="15">
      <c r="B402" s="414" t="s">
        <v>1722</v>
      </c>
      <c r="C402" s="398"/>
    </row>
    <row r="403" spans="2:9" ht="15">
      <c r="B403" s="415" t="s">
        <v>1723</v>
      </c>
      <c r="C403" s="398"/>
    </row>
    <row r="404" spans="2:9" ht="15">
      <c r="B404" s="415" t="s">
        <v>1724</v>
      </c>
      <c r="C404" s="398"/>
    </row>
    <row r="405" spans="2:9" ht="15">
      <c r="B405" s="415" t="s">
        <v>1725</v>
      </c>
      <c r="C405" s="398"/>
    </row>
    <row r="406" spans="2:9" ht="15">
      <c r="B406" s="415" t="s">
        <v>1726</v>
      </c>
      <c r="C406" s="398"/>
    </row>
    <row r="407" spans="2:9" ht="15">
      <c r="B407" s="416" t="s">
        <v>1614</v>
      </c>
      <c r="C407" s="398"/>
    </row>
    <row r="409" spans="2:9" ht="15">
      <c r="H409" s="209" t="s">
        <v>909</v>
      </c>
      <c r="I409" s="225" t="str">
        <f>IF(COUNTA(C402:C407)&lt;6,"À faire",IFERROR(IF(AND(C402=3,C403=8,C404=4,C405=4,C406="AURA",C407="AURA"),"✓ Correct","À revoir"),"À revoir"))</f>
        <v>À faire</v>
      </c>
    </row>
    <row r="412" spans="2:9" ht="24.95" customHeight="1">
      <c r="B412" s="573" t="s">
        <v>1727</v>
      </c>
      <c r="C412" s="573"/>
      <c r="D412" s="573"/>
      <c r="E412" s="573"/>
      <c r="F412" s="573"/>
      <c r="G412" s="573"/>
      <c r="H412" s="219" t="s">
        <v>947</v>
      </c>
      <c r="I412" s="207" t="s">
        <v>1386</v>
      </c>
    </row>
    <row r="413" spans="2:9" ht="21.95" customHeight="1">
      <c r="G413" s="579" t="s">
        <v>1728</v>
      </c>
      <c r="H413" s="579"/>
      <c r="I413" s="579"/>
    </row>
    <row r="414" spans="2:9" ht="87.95" customHeight="1">
      <c r="B414" s="575" t="s">
        <v>1729</v>
      </c>
      <c r="C414" s="575"/>
      <c r="D414" s="575"/>
      <c r="E414" s="575"/>
      <c r="F414" s="575"/>
      <c r="G414" s="575"/>
      <c r="H414" s="575"/>
      <c r="I414" s="575"/>
    </row>
    <row r="416" spans="2:9" ht="15">
      <c r="B416" s="209" t="s">
        <v>1087</v>
      </c>
      <c r="C416" s="209" t="s">
        <v>1097</v>
      </c>
      <c r="D416" s="209" t="s">
        <v>26</v>
      </c>
    </row>
    <row r="417" spans="2:9">
      <c r="B417" s="408" t="s">
        <v>964</v>
      </c>
      <c r="C417" s="227" t="s">
        <v>1098</v>
      </c>
      <c r="D417" s="409">
        <v>480</v>
      </c>
    </row>
    <row r="418" spans="2:9">
      <c r="B418" s="408" t="s">
        <v>1500</v>
      </c>
      <c r="C418" s="227" t="s">
        <v>1099</v>
      </c>
      <c r="D418" s="409">
        <v>980</v>
      </c>
    </row>
    <row r="419" spans="2:9">
      <c r="B419" s="408" t="s">
        <v>1089</v>
      </c>
      <c r="C419" s="227" t="s">
        <v>1098</v>
      </c>
      <c r="D419" s="409">
        <v>820</v>
      </c>
    </row>
    <row r="420" spans="2:9">
      <c r="B420" s="408" t="s">
        <v>1711</v>
      </c>
      <c r="C420" s="227" t="s">
        <v>1105</v>
      </c>
      <c r="D420" s="409">
        <v>760</v>
      </c>
    </row>
    <row r="421" spans="2:9">
      <c r="B421" s="408" t="s">
        <v>1088</v>
      </c>
      <c r="C421" s="227" t="s">
        <v>1098</v>
      </c>
      <c r="D421" s="409">
        <v>560</v>
      </c>
    </row>
    <row r="423" spans="2:9" ht="15">
      <c r="B423" s="414" t="s">
        <v>1610</v>
      </c>
      <c r="C423" s="398"/>
    </row>
    <row r="424" spans="2:9" ht="15">
      <c r="B424" s="415" t="s">
        <v>1730</v>
      </c>
      <c r="C424" s="398"/>
    </row>
    <row r="425" spans="2:9" ht="15">
      <c r="B425" s="416" t="s">
        <v>1614</v>
      </c>
      <c r="C425" s="398"/>
    </row>
    <row r="427" spans="2:9" ht="15">
      <c r="H427" s="209" t="s">
        <v>909</v>
      </c>
      <c r="I427" s="225" t="str">
        <f>IF(COUNTA(C423:C425)&lt;3,"À faire",IFERROR(IF(AND(ABS(C423-820)&lt;0.0001,C424="Leroy",C425="Leroy"),"✓ Correct","À revoir"),"À revoir"))</f>
        <v>À faire</v>
      </c>
    </row>
    <row r="430" spans="2:9" ht="24.95" customHeight="1">
      <c r="B430" s="573" t="s">
        <v>1731</v>
      </c>
      <c r="C430" s="573"/>
      <c r="D430" s="573"/>
      <c r="E430" s="573"/>
      <c r="F430" s="573"/>
      <c r="G430" s="573"/>
      <c r="H430" s="219" t="s">
        <v>947</v>
      </c>
      <c r="I430" s="207" t="s">
        <v>1386</v>
      </c>
    </row>
    <row r="432" spans="2:9" ht="99.95" customHeight="1">
      <c r="B432" s="575" t="s">
        <v>1732</v>
      </c>
      <c r="C432" s="575"/>
      <c r="D432" s="575"/>
      <c r="E432" s="575"/>
      <c r="F432" s="575"/>
      <c r="G432" s="575"/>
      <c r="H432" s="575"/>
      <c r="I432" s="575"/>
    </row>
    <row r="434" spans="2:9" ht="15">
      <c r="B434" s="209" t="s">
        <v>1087</v>
      </c>
      <c r="C434" s="209" t="s">
        <v>24</v>
      </c>
      <c r="D434" s="209" t="s">
        <v>932</v>
      </c>
      <c r="F434" s="209" t="s">
        <v>24</v>
      </c>
      <c r="G434" s="209" t="s">
        <v>1441</v>
      </c>
    </row>
    <row r="435" spans="2:9">
      <c r="B435" s="408" t="s">
        <v>964</v>
      </c>
      <c r="C435" s="227" t="s">
        <v>1313</v>
      </c>
      <c r="D435" s="410">
        <v>2</v>
      </c>
      <c r="F435" s="408" t="s">
        <v>1313</v>
      </c>
      <c r="G435" s="409">
        <v>24.9</v>
      </c>
    </row>
    <row r="436" spans="2:9">
      <c r="B436" s="408" t="s">
        <v>1089</v>
      </c>
      <c r="C436" s="227" t="s">
        <v>1316</v>
      </c>
      <c r="D436" s="410">
        <v>1</v>
      </c>
      <c r="F436" s="408" t="s">
        <v>1316</v>
      </c>
      <c r="G436" s="409">
        <v>19.899999999999999</v>
      </c>
    </row>
    <row r="437" spans="2:9">
      <c r="B437" s="408" t="s">
        <v>964</v>
      </c>
      <c r="C437" s="227" t="s">
        <v>1321</v>
      </c>
      <c r="D437" s="410">
        <v>3</v>
      </c>
      <c r="F437" s="408" t="s">
        <v>1318</v>
      </c>
      <c r="G437" s="409">
        <v>34.549999999999997</v>
      </c>
    </row>
    <row r="438" spans="2:9">
      <c r="B438" s="408" t="s">
        <v>1088</v>
      </c>
      <c r="C438" s="227" t="s">
        <v>1318</v>
      </c>
      <c r="D438" s="410">
        <v>4</v>
      </c>
      <c r="F438" s="408" t="s">
        <v>1321</v>
      </c>
      <c r="G438" s="409">
        <v>139.9</v>
      </c>
    </row>
    <row r="439" spans="2:9">
      <c r="B439" s="408" t="s">
        <v>964</v>
      </c>
      <c r="C439" s="227" t="s">
        <v>1316</v>
      </c>
      <c r="D439" s="410">
        <v>5</v>
      </c>
    </row>
    <row r="441" spans="2:9" ht="15">
      <c r="H441" s="209" t="s">
        <v>1087</v>
      </c>
      <c r="I441" s="176" t="s">
        <v>964</v>
      </c>
    </row>
    <row r="443" spans="2:9" ht="15">
      <c r="B443" s="414" t="s">
        <v>1733</v>
      </c>
      <c r="C443" s="398"/>
    </row>
    <row r="444" spans="2:9" ht="15">
      <c r="B444" s="415" t="s">
        <v>1734</v>
      </c>
      <c r="C444" s="398"/>
    </row>
    <row r="445" spans="2:9" ht="15">
      <c r="B445" s="415" t="s">
        <v>1735</v>
      </c>
      <c r="C445" s="398"/>
    </row>
    <row r="446" spans="2:9" ht="15">
      <c r="B446" s="415" t="s">
        <v>1698</v>
      </c>
      <c r="C446" s="398"/>
    </row>
    <row r="447" spans="2:9" ht="15">
      <c r="B447" s="416" t="s">
        <v>1614</v>
      </c>
      <c r="C447" s="398"/>
    </row>
    <row r="449" spans="2:9" ht="15">
      <c r="H449" s="209" t="s">
        <v>909</v>
      </c>
      <c r="I449" s="225" t="str">
        <f>IF(COUNTA(C443:C447)&lt;5,"À faire",IFERROR(IF(AND(C443="P-102",C444=5,ABS(C445-19.9)&lt;0.0001,ABS(C446-99.5)&lt;0.0001,ABS(C447-99.5)&lt;0.0001),"✓ Correct","À revoir"),"À revoir"))</f>
        <v>À faire</v>
      </c>
    </row>
    <row r="452" spans="2:9" ht="21.95" customHeight="1">
      <c r="B452" s="576" t="s">
        <v>1736</v>
      </c>
      <c r="C452" s="576"/>
      <c r="D452" s="576"/>
      <c r="E452" s="576"/>
      <c r="F452" s="576"/>
      <c r="G452" s="576"/>
      <c r="H452" s="576"/>
      <c r="I452" s="576"/>
    </row>
    <row r="454" spans="2:9" ht="24.95" customHeight="1">
      <c r="B454" s="573" t="s">
        <v>1737</v>
      </c>
      <c r="C454" s="573"/>
      <c r="D454" s="573"/>
      <c r="E454" s="573"/>
      <c r="F454" s="573"/>
      <c r="G454" s="573"/>
      <c r="H454" s="219" t="s">
        <v>930</v>
      </c>
      <c r="I454" s="207" t="s">
        <v>1386</v>
      </c>
    </row>
    <row r="456" spans="2:9" ht="81.95" customHeight="1">
      <c r="B456" s="575" t="s">
        <v>1738</v>
      </c>
      <c r="C456" s="575"/>
      <c r="D456" s="575"/>
      <c r="E456" s="575"/>
      <c r="F456" s="575"/>
      <c r="G456" s="575"/>
      <c r="H456" s="575"/>
      <c r="I456" s="575"/>
    </row>
    <row r="458" spans="2:9" ht="15">
      <c r="B458" s="209" t="s">
        <v>1739</v>
      </c>
      <c r="C458" s="209" t="s">
        <v>932</v>
      </c>
      <c r="D458" s="209" t="s">
        <v>1740</v>
      </c>
    </row>
    <row r="459" spans="2:9">
      <c r="B459" s="226">
        <v>125.5</v>
      </c>
      <c r="C459" s="227">
        <v>3</v>
      </c>
      <c r="D459" s="228">
        <v>0.2</v>
      </c>
    </row>
    <row r="461" spans="2:9" ht="15">
      <c r="B461" s="208" t="s">
        <v>1741</v>
      </c>
      <c r="C461" s="398"/>
    </row>
    <row r="463" spans="2:9" ht="15">
      <c r="H463" s="209" t="s">
        <v>909</v>
      </c>
      <c r="I463" s="225" t="str">
        <f>IF(C461="","À faire",IFERROR(IF(ABS(C461-451.8)&lt;0.0001,"✓ Correct","À revoir"),"À revoir"))</f>
        <v>À faire</v>
      </c>
    </row>
    <row r="466" spans="2:9" ht="24.95" customHeight="1">
      <c r="B466" s="573" t="s">
        <v>1742</v>
      </c>
      <c r="C466" s="573"/>
      <c r="D466" s="573"/>
      <c r="E466" s="573"/>
      <c r="F466" s="573"/>
      <c r="G466" s="573"/>
      <c r="H466" s="219" t="s">
        <v>930</v>
      </c>
      <c r="I466" s="207" t="s">
        <v>1386</v>
      </c>
    </row>
    <row r="468" spans="2:9" ht="81.95" customHeight="1">
      <c r="B468" s="575" t="s">
        <v>1743</v>
      </c>
      <c r="C468" s="575"/>
      <c r="D468" s="575"/>
      <c r="E468" s="575"/>
      <c r="F468" s="575"/>
      <c r="G468" s="575"/>
      <c r="H468" s="575"/>
      <c r="I468" s="575"/>
    </row>
    <row r="470" spans="2:9" ht="15">
      <c r="B470" s="209" t="s">
        <v>1225</v>
      </c>
      <c r="C470" s="209" t="s">
        <v>24</v>
      </c>
      <c r="D470" s="209" t="s">
        <v>1312</v>
      </c>
    </row>
    <row r="471" spans="2:9">
      <c r="B471" s="408" t="s">
        <v>1313</v>
      </c>
      <c r="C471" s="227" t="s">
        <v>934</v>
      </c>
      <c r="D471" s="410">
        <v>12</v>
      </c>
    </row>
    <row r="472" spans="2:9">
      <c r="B472" s="408" t="s">
        <v>1316</v>
      </c>
      <c r="C472" s="227" t="s">
        <v>935</v>
      </c>
      <c r="D472" s="410">
        <v>8</v>
      </c>
    </row>
    <row r="473" spans="2:9">
      <c r="B473" s="408" t="s">
        <v>1318</v>
      </c>
      <c r="C473" s="227" t="s">
        <v>1717</v>
      </c>
      <c r="D473" s="410">
        <v>15</v>
      </c>
    </row>
    <row r="474" spans="2:9">
      <c r="B474" s="408" t="s">
        <v>1321</v>
      </c>
      <c r="C474" s="227" t="s">
        <v>1716</v>
      </c>
      <c r="D474" s="410">
        <v>7</v>
      </c>
    </row>
    <row r="476" spans="2:9" ht="15">
      <c r="H476" s="209" t="s">
        <v>1309</v>
      </c>
      <c r="I476" s="176" t="s">
        <v>1321</v>
      </c>
    </row>
    <row r="478" spans="2:9" ht="15">
      <c r="B478" s="208" t="s">
        <v>1741</v>
      </c>
      <c r="C478" s="398"/>
    </row>
    <row r="480" spans="2:9" ht="15">
      <c r="H480" s="209" t="s">
        <v>909</v>
      </c>
      <c r="I480" s="225" t="str">
        <f>IF(C478="","À faire",IFERROR(IF(C478="Commander","✓ Correct","À revoir"),"À revoir"))</f>
        <v>À faire</v>
      </c>
    </row>
    <row r="483" spans="2:9" ht="24.95" customHeight="1">
      <c r="B483" s="573" t="s">
        <v>1744</v>
      </c>
      <c r="C483" s="573"/>
      <c r="D483" s="573"/>
      <c r="E483" s="573"/>
      <c r="F483" s="573"/>
      <c r="G483" s="573"/>
      <c r="H483" s="219" t="s">
        <v>930</v>
      </c>
      <c r="I483" s="229" t="s">
        <v>1386</v>
      </c>
    </row>
    <row r="485" spans="2:9" ht="81.95" customHeight="1">
      <c r="B485" s="575" t="s">
        <v>1745</v>
      </c>
      <c r="C485" s="575"/>
      <c r="D485" s="575"/>
      <c r="E485" s="575"/>
      <c r="F485" s="575"/>
      <c r="G485" s="575"/>
      <c r="H485" s="575"/>
      <c r="I485" s="575"/>
    </row>
    <row r="487" spans="2:9" ht="15">
      <c r="B487" s="209" t="s">
        <v>1649</v>
      </c>
      <c r="C487" s="209" t="s">
        <v>963</v>
      </c>
      <c r="D487" s="209" t="s">
        <v>1746</v>
      </c>
      <c r="E487" s="209" t="s">
        <v>1747</v>
      </c>
    </row>
    <row r="488" spans="2:9">
      <c r="B488" s="408" t="s">
        <v>1650</v>
      </c>
      <c r="C488" s="227" t="s">
        <v>964</v>
      </c>
      <c r="D488" s="413">
        <v>35</v>
      </c>
      <c r="E488" s="409">
        <v>17.5</v>
      </c>
    </row>
    <row r="489" spans="2:9">
      <c r="B489" s="408" t="s">
        <v>1652</v>
      </c>
      <c r="C489" s="227" t="s">
        <v>1089</v>
      </c>
      <c r="D489" s="413">
        <v>32</v>
      </c>
      <c r="E489" s="409">
        <v>18</v>
      </c>
    </row>
    <row r="490" spans="2:9">
      <c r="B490" s="408" t="s">
        <v>1655</v>
      </c>
      <c r="C490" s="227" t="s">
        <v>1088</v>
      </c>
      <c r="D490" s="413">
        <v>37.5</v>
      </c>
      <c r="E490" s="409">
        <v>18.399999999999999</v>
      </c>
    </row>
    <row r="491" spans="2:9">
      <c r="B491" s="408" t="s">
        <v>1658</v>
      </c>
      <c r="C491" s="227" t="s">
        <v>1500</v>
      </c>
      <c r="D491" s="413">
        <v>40</v>
      </c>
      <c r="E491" s="409">
        <v>17.8</v>
      </c>
    </row>
    <row r="493" spans="2:9" ht="15">
      <c r="H493" s="209" t="s">
        <v>1649</v>
      </c>
      <c r="I493" s="176" t="s">
        <v>1655</v>
      </c>
    </row>
    <row r="495" spans="2:9" ht="15">
      <c r="B495" s="208" t="s">
        <v>1741</v>
      </c>
      <c r="C495" s="398"/>
    </row>
    <row r="497" spans="2:9" ht="15">
      <c r="H497" s="209" t="s">
        <v>909</v>
      </c>
      <c r="I497" s="225" t="str">
        <f>IF(C495="","À faire",IFERROR(IF(ABS(C495-690)&lt;0.0001,"✓ Correct","À revoir"),"À revoir"))</f>
        <v>À faire</v>
      </c>
    </row>
    <row r="500" spans="2:9" ht="24.95" customHeight="1">
      <c r="B500" s="573" t="s">
        <v>1748</v>
      </c>
      <c r="C500" s="573"/>
      <c r="D500" s="573"/>
      <c r="E500" s="573"/>
      <c r="F500" s="573"/>
      <c r="G500" s="573"/>
      <c r="H500" s="219" t="s">
        <v>947</v>
      </c>
      <c r="I500" s="207" t="s">
        <v>1386</v>
      </c>
    </row>
    <row r="502" spans="2:9" ht="92.1" customHeight="1">
      <c r="B502" s="575" t="s">
        <v>1749</v>
      </c>
      <c r="C502" s="575"/>
      <c r="D502" s="575"/>
      <c r="E502" s="575"/>
      <c r="F502" s="575"/>
      <c r="G502" s="575"/>
      <c r="H502" s="575"/>
      <c r="I502" s="575"/>
    </row>
    <row r="504" spans="2:9" ht="15">
      <c r="B504" s="209" t="s">
        <v>1225</v>
      </c>
      <c r="C504" s="209" t="s">
        <v>24</v>
      </c>
      <c r="D504" s="209" t="s">
        <v>1739</v>
      </c>
      <c r="E504" s="209"/>
      <c r="H504" s="417" t="s">
        <v>1309</v>
      </c>
      <c r="I504" s="420" t="s">
        <v>1313</v>
      </c>
    </row>
    <row r="505" spans="2:9" ht="15">
      <c r="B505" s="408" t="s">
        <v>1313</v>
      </c>
      <c r="C505" s="227" t="s">
        <v>934</v>
      </c>
      <c r="D505" s="411">
        <v>84.5</v>
      </c>
      <c r="E505" s="409"/>
      <c r="H505" s="419" t="s">
        <v>932</v>
      </c>
      <c r="I505" s="422">
        <v>7</v>
      </c>
    </row>
    <row r="506" spans="2:9" ht="15">
      <c r="B506" s="408" t="s">
        <v>1316</v>
      </c>
      <c r="C506" s="227" t="s">
        <v>935</v>
      </c>
      <c r="D506" s="411">
        <v>49.9</v>
      </c>
      <c r="E506" s="409"/>
      <c r="H506" s="419" t="s">
        <v>1118</v>
      </c>
      <c r="I506" s="422">
        <v>500</v>
      </c>
    </row>
    <row r="507" spans="2:9" ht="15">
      <c r="B507" s="408" t="s">
        <v>1318</v>
      </c>
      <c r="C507" s="227" t="s">
        <v>1716</v>
      </c>
      <c r="D507" s="411">
        <v>125</v>
      </c>
      <c r="E507" s="409"/>
      <c r="H507" s="418" t="s">
        <v>1347</v>
      </c>
      <c r="I507" s="421">
        <v>0.08</v>
      </c>
    </row>
    <row r="508" spans="2:9">
      <c r="B508" s="408" t="s">
        <v>1321</v>
      </c>
      <c r="C508" s="227" t="s">
        <v>1717</v>
      </c>
      <c r="D508" s="411">
        <v>34.549999999999997</v>
      </c>
      <c r="E508" s="409"/>
    </row>
    <row r="512" spans="2:9" ht="15">
      <c r="B512" s="208" t="s">
        <v>1741</v>
      </c>
      <c r="C512" s="398"/>
    </row>
    <row r="514" spans="2:9" ht="15">
      <c r="H514" s="209" t="s">
        <v>909</v>
      </c>
      <c r="I514" s="225" t="str">
        <f>IF(C512="","À faire",IFERROR(IF(ABS(C512-544.18)&lt;0.001,"✓ Correct","À revoir"),"À revoir"))</f>
        <v>À faire</v>
      </c>
    </row>
    <row r="515" spans="2:9" ht="15">
      <c r="H515" s="209"/>
      <c r="I515" s="225"/>
    </row>
    <row r="517" spans="2:9" ht="21.95" customHeight="1">
      <c r="B517" s="576" t="s">
        <v>1750</v>
      </c>
      <c r="C517" s="576"/>
      <c r="D517" s="576"/>
      <c r="E517" s="576"/>
      <c r="F517" s="576"/>
      <c r="G517" s="576"/>
      <c r="H517" s="576"/>
      <c r="I517" s="576"/>
    </row>
    <row r="519" spans="2:9" ht="24.95" customHeight="1">
      <c r="B519" s="573" t="s">
        <v>1751</v>
      </c>
      <c r="C519" s="573"/>
      <c r="D519" s="573"/>
      <c r="E519" s="573"/>
      <c r="F519" s="573"/>
      <c r="G519" s="573"/>
      <c r="H519" s="219" t="s">
        <v>947</v>
      </c>
      <c r="I519" s="220" t="s">
        <v>902</v>
      </c>
    </row>
    <row r="521" spans="2:9" ht="92.1" customHeight="1">
      <c r="B521" s="575" t="s">
        <v>1752</v>
      </c>
      <c r="C521" s="575"/>
      <c r="D521" s="575"/>
      <c r="E521" s="575"/>
      <c r="F521" s="575"/>
      <c r="G521" s="575"/>
      <c r="H521" s="575"/>
      <c r="I521" s="575"/>
    </row>
    <row r="523" spans="2:9" ht="15">
      <c r="B523" s="209" t="s">
        <v>1225</v>
      </c>
      <c r="C523" s="209" t="s">
        <v>24</v>
      </c>
      <c r="D523" s="209" t="s">
        <v>1441</v>
      </c>
      <c r="E523" s="209" t="s">
        <v>1312</v>
      </c>
    </row>
    <row r="524" spans="2:9">
      <c r="B524" s="408" t="s">
        <v>1313</v>
      </c>
      <c r="C524" s="227" t="s">
        <v>934</v>
      </c>
      <c r="D524" s="411">
        <v>24.9</v>
      </c>
      <c r="E524" s="410">
        <v>12</v>
      </c>
    </row>
    <row r="525" spans="2:9">
      <c r="B525" s="408" t="s">
        <v>1316</v>
      </c>
      <c r="C525" s="227" t="s">
        <v>935</v>
      </c>
      <c r="D525" s="411">
        <v>19.899999999999999</v>
      </c>
      <c r="E525" s="410">
        <v>8</v>
      </c>
    </row>
    <row r="526" spans="2:9">
      <c r="B526" s="408" t="s">
        <v>1318</v>
      </c>
      <c r="C526" s="227" t="s">
        <v>1717</v>
      </c>
      <c r="D526" s="411">
        <v>34.549999999999997</v>
      </c>
      <c r="E526" s="410">
        <v>15</v>
      </c>
    </row>
    <row r="527" spans="2:9">
      <c r="B527" s="408" t="s">
        <v>1321</v>
      </c>
      <c r="C527" s="227" t="s">
        <v>1716</v>
      </c>
      <c r="D527" s="411">
        <v>139.9</v>
      </c>
      <c r="E527" s="410">
        <v>7</v>
      </c>
    </row>
    <row r="529" spans="2:9" ht="15">
      <c r="B529" s="209" t="s">
        <v>1225</v>
      </c>
      <c r="C529" s="209" t="s">
        <v>932</v>
      </c>
      <c r="D529" s="209" t="s">
        <v>906</v>
      </c>
    </row>
    <row r="530" spans="2:9">
      <c r="B530" s="408" t="s">
        <v>1321</v>
      </c>
      <c r="C530" s="227">
        <v>5</v>
      </c>
      <c r="D530" s="398"/>
    </row>
    <row r="531" spans="2:9">
      <c r="B531" s="408" t="s">
        <v>1316</v>
      </c>
      <c r="C531" s="227">
        <v>12</v>
      </c>
      <c r="D531" s="398"/>
    </row>
    <row r="533" spans="2:9" ht="15">
      <c r="H533" s="209" t="s">
        <v>909</v>
      </c>
      <c r="I533" s="225" t="str">
        <f>IF(COUNTA(D530:D531)&lt;2,"À faire",IFERROR(IF(AND(ABS(D530-699.5)&lt;0.0001,D531="Stock insuffisant"),"✓ Correct","À revoir"),"À revoir"))</f>
        <v>À faire</v>
      </c>
    </row>
    <row r="536" spans="2:9" ht="24.95" customHeight="1">
      <c r="B536" s="573" t="s">
        <v>1753</v>
      </c>
      <c r="C536" s="573"/>
      <c r="D536" s="573"/>
      <c r="E536" s="573"/>
      <c r="F536" s="573"/>
      <c r="G536" s="573"/>
      <c r="H536" s="219" t="s">
        <v>947</v>
      </c>
      <c r="I536" s="220" t="s">
        <v>902</v>
      </c>
    </row>
    <row r="538" spans="2:9" ht="92.1" customHeight="1">
      <c r="B538" s="575" t="s">
        <v>1754</v>
      </c>
      <c r="C538" s="575"/>
      <c r="D538" s="575"/>
      <c r="E538" s="575"/>
      <c r="F538" s="575"/>
      <c r="G538" s="575"/>
      <c r="H538" s="575"/>
      <c r="I538" s="575"/>
    </row>
    <row r="540" spans="2:9" ht="15">
      <c r="B540" s="209" t="s">
        <v>1272</v>
      </c>
      <c r="C540" s="209" t="s">
        <v>1087</v>
      </c>
      <c r="D540" s="209" t="s">
        <v>1755</v>
      </c>
      <c r="F540" s="209" t="s">
        <v>1087</v>
      </c>
      <c r="G540" s="209" t="s">
        <v>1208</v>
      </c>
    </row>
    <row r="541" spans="2:9">
      <c r="B541" s="408" t="s">
        <v>1756</v>
      </c>
      <c r="C541" s="227" t="s">
        <v>964</v>
      </c>
      <c r="D541" s="409">
        <v>420</v>
      </c>
      <c r="F541" s="408" t="s">
        <v>964</v>
      </c>
      <c r="G541" s="410" t="s">
        <v>1757</v>
      </c>
    </row>
    <row r="542" spans="2:9">
      <c r="B542" s="408" t="s">
        <v>1758</v>
      </c>
      <c r="C542" s="227" t="s">
        <v>1088</v>
      </c>
      <c r="D542" s="409">
        <v>780</v>
      </c>
      <c r="F542" s="408" t="s">
        <v>1088</v>
      </c>
      <c r="G542" s="410" t="s">
        <v>1759</v>
      </c>
    </row>
    <row r="543" spans="2:9">
      <c r="B543" s="408" t="s">
        <v>1760</v>
      </c>
      <c r="C543" s="227" t="s">
        <v>1089</v>
      </c>
      <c r="D543" s="409">
        <v>560</v>
      </c>
      <c r="F543" s="408" t="s">
        <v>1089</v>
      </c>
      <c r="G543" s="410" t="s">
        <v>1761</v>
      </c>
    </row>
    <row r="545" spans="2:9" ht="15">
      <c r="F545" s="209" t="s">
        <v>1208</v>
      </c>
      <c r="G545" s="209" t="s">
        <v>1347</v>
      </c>
    </row>
    <row r="546" spans="2:9">
      <c r="F546" s="408" t="s">
        <v>1761</v>
      </c>
      <c r="G546" s="228">
        <v>0.05</v>
      </c>
    </row>
    <row r="547" spans="2:9">
      <c r="F547" s="408" t="s">
        <v>1757</v>
      </c>
      <c r="G547" s="228">
        <v>0.08</v>
      </c>
    </row>
    <row r="548" spans="2:9">
      <c r="F548" s="408" t="s">
        <v>1759</v>
      </c>
      <c r="G548" s="228">
        <v>0.1</v>
      </c>
    </row>
    <row r="550" spans="2:9" ht="15">
      <c r="H550" s="209" t="s">
        <v>1272</v>
      </c>
      <c r="I550" s="176" t="s">
        <v>1758</v>
      </c>
    </row>
    <row r="552" spans="2:9" ht="15">
      <c r="B552" s="208" t="s">
        <v>927</v>
      </c>
      <c r="C552" s="398"/>
    </row>
    <row r="554" spans="2:9" ht="15">
      <c r="H554" s="209" t="s">
        <v>909</v>
      </c>
      <c r="I554" s="225" t="str">
        <f>IF(C552="","À faire",IFERROR(IF(ABS(C552-702)&lt;0.0001,"✓ Correct","À revoir"),"À revoir"))</f>
        <v>À faire</v>
      </c>
    </row>
    <row r="557" spans="2:9" ht="24.95" customHeight="1">
      <c r="B557" s="573" t="s">
        <v>1762</v>
      </c>
      <c r="C557" s="573"/>
      <c r="D557" s="573"/>
      <c r="E557" s="573"/>
      <c r="F557" s="573"/>
      <c r="G557" s="573"/>
      <c r="H557" s="219" t="s">
        <v>947</v>
      </c>
      <c r="I557" s="220" t="s">
        <v>902</v>
      </c>
    </row>
    <row r="559" spans="2:9" ht="98.1" customHeight="1">
      <c r="B559" s="575" t="s">
        <v>1763</v>
      </c>
      <c r="C559" s="575"/>
      <c r="D559" s="575"/>
      <c r="E559" s="575"/>
      <c r="F559" s="575"/>
      <c r="G559" s="575"/>
      <c r="H559" s="575"/>
      <c r="I559" s="575"/>
    </row>
    <row r="561" spans="2:9" ht="15">
      <c r="B561" s="209" t="s">
        <v>1649</v>
      </c>
      <c r="C561" s="209" t="s">
        <v>963</v>
      </c>
      <c r="D561" s="209" t="s">
        <v>1764</v>
      </c>
      <c r="E561" s="209" t="s">
        <v>1268</v>
      </c>
      <c r="G561" s="209" t="s">
        <v>1764</v>
      </c>
      <c r="H561" s="209" t="s">
        <v>1765</v>
      </c>
    </row>
    <row r="562" spans="2:9">
      <c r="B562" s="408" t="s">
        <v>1650</v>
      </c>
      <c r="C562" s="227" t="s">
        <v>1651</v>
      </c>
      <c r="D562" s="227" t="s">
        <v>1766</v>
      </c>
      <c r="E562" s="410" t="s">
        <v>1269</v>
      </c>
      <c r="G562" s="408" t="s">
        <v>1766</v>
      </c>
      <c r="H562" s="410" t="s">
        <v>1639</v>
      </c>
    </row>
    <row r="563" spans="2:9">
      <c r="B563" s="408" t="s">
        <v>1652</v>
      </c>
      <c r="C563" s="227" t="s">
        <v>1653</v>
      </c>
      <c r="D563" s="227" t="s">
        <v>1767</v>
      </c>
      <c r="E563" s="410" t="s">
        <v>1654</v>
      </c>
      <c r="G563" s="408" t="s">
        <v>1767</v>
      </c>
      <c r="H563" s="410" t="s">
        <v>1768</v>
      </c>
    </row>
    <row r="564" spans="2:9">
      <c r="B564" s="408" t="s">
        <v>1655</v>
      </c>
      <c r="C564" s="227" t="s">
        <v>1656</v>
      </c>
      <c r="D564" s="227" t="s">
        <v>1769</v>
      </c>
      <c r="E564" s="410" t="s">
        <v>1657</v>
      </c>
      <c r="G564" s="408" t="s">
        <v>1769</v>
      </c>
      <c r="H564" s="410" t="s">
        <v>1640</v>
      </c>
    </row>
    <row r="566" spans="2:9" ht="15">
      <c r="H566" s="209" t="s">
        <v>1649</v>
      </c>
      <c r="I566" s="176" t="s">
        <v>1655</v>
      </c>
    </row>
    <row r="568" spans="2:9" ht="15">
      <c r="B568" s="208" t="s">
        <v>927</v>
      </c>
      <c r="C568" s="398"/>
    </row>
    <row r="570" spans="2:9" ht="15">
      <c r="H570" s="209" t="s">
        <v>909</v>
      </c>
      <c r="I570" s="225" t="str">
        <f>IF(C568="","À faire",IFERROR(IF(C568="Karim - sophie.leroy","✓ Correct","À revoir"),"À revoir"))</f>
        <v>À faire</v>
      </c>
    </row>
  </sheetData>
  <sheetProtection sheet="1" objects="1" scenarios="1" autoFilter="0"/>
  <mergeCells count="79">
    <mergeCell ref="B559:I559"/>
    <mergeCell ref="G131:I131"/>
    <mergeCell ref="G175:I175"/>
    <mergeCell ref="G194:I194"/>
    <mergeCell ref="G213:I213"/>
    <mergeCell ref="G257:I257"/>
    <mergeCell ref="G276:I276"/>
    <mergeCell ref="G299:I299"/>
    <mergeCell ref="G413:I413"/>
    <mergeCell ref="B483:G483"/>
    <mergeCell ref="B485:I485"/>
    <mergeCell ref="B500:G500"/>
    <mergeCell ref="B502:I502"/>
    <mergeCell ref="B519:G519"/>
    <mergeCell ref="B521:I521"/>
    <mergeCell ref="B536:G536"/>
    <mergeCell ref="B452:I452"/>
    <mergeCell ref="B538:I538"/>
    <mergeCell ref="B557:G557"/>
    <mergeCell ref="B454:G454"/>
    <mergeCell ref="B456:I456"/>
    <mergeCell ref="B466:G466"/>
    <mergeCell ref="B468:I468"/>
    <mergeCell ref="B517:I517"/>
    <mergeCell ref="B397:I397"/>
    <mergeCell ref="B412:G412"/>
    <mergeCell ref="B414:I414"/>
    <mergeCell ref="B430:G430"/>
    <mergeCell ref="B432:I432"/>
    <mergeCell ref="B363:I363"/>
    <mergeCell ref="B377:G377"/>
    <mergeCell ref="B379:I379"/>
    <mergeCell ref="B393:I393"/>
    <mergeCell ref="B395:G395"/>
    <mergeCell ref="B333:I333"/>
    <mergeCell ref="B343:I343"/>
    <mergeCell ref="B345:G345"/>
    <mergeCell ref="B347:I347"/>
    <mergeCell ref="B361:G361"/>
    <mergeCell ref="B300:I300"/>
    <mergeCell ref="B317:I317"/>
    <mergeCell ref="B319:G319"/>
    <mergeCell ref="B321:I321"/>
    <mergeCell ref="B331:G331"/>
    <mergeCell ref="B256:G256"/>
    <mergeCell ref="B258:I258"/>
    <mergeCell ref="B275:G275"/>
    <mergeCell ref="B277:I277"/>
    <mergeCell ref="B298:G298"/>
    <mergeCell ref="B212:G212"/>
    <mergeCell ref="B214:I214"/>
    <mergeCell ref="B233:I233"/>
    <mergeCell ref="B235:G235"/>
    <mergeCell ref="B237:I237"/>
    <mergeCell ref="B172:I172"/>
    <mergeCell ref="B174:G174"/>
    <mergeCell ref="B176:I176"/>
    <mergeCell ref="B193:G193"/>
    <mergeCell ref="B195:I195"/>
    <mergeCell ref="B111:I111"/>
    <mergeCell ref="B130:G130"/>
    <mergeCell ref="B132:I132"/>
    <mergeCell ref="B150:G150"/>
    <mergeCell ref="B152:I152"/>
    <mergeCell ref="B76:I76"/>
    <mergeCell ref="B86:I86"/>
    <mergeCell ref="B88:G88"/>
    <mergeCell ref="B90:I90"/>
    <mergeCell ref="B109:G109"/>
    <mergeCell ref="B45:G45"/>
    <mergeCell ref="B47:I47"/>
    <mergeCell ref="B57:G57"/>
    <mergeCell ref="B59:I59"/>
    <mergeCell ref="B74:G74"/>
    <mergeCell ref="B20:I20"/>
    <mergeCell ref="B22:I22"/>
    <mergeCell ref="B24:G24"/>
    <mergeCell ref="B26:I26"/>
    <mergeCell ref="B35:E35"/>
  </mergeCells>
  <conditionalFormatting sqref="I42">
    <cfRule type="expression" dxfId="209" priority="91">
      <formula>I42="✓ Correct"</formula>
    </cfRule>
    <cfRule type="expression" dxfId="208" priority="92">
      <formula>I42="À revoir"</formula>
    </cfRule>
    <cfRule type="expression" dxfId="207" priority="93">
      <formula>I42="À faire"</formula>
    </cfRule>
  </conditionalFormatting>
  <conditionalFormatting sqref="I54">
    <cfRule type="expression" dxfId="206" priority="94">
      <formula>I54="✓ Correct"</formula>
    </cfRule>
    <cfRule type="expression" dxfId="205" priority="95">
      <formula>I54="À revoir"</formula>
    </cfRule>
    <cfRule type="expression" dxfId="204" priority="96">
      <formula>I54="À faire"</formula>
    </cfRule>
  </conditionalFormatting>
  <conditionalFormatting sqref="I71">
    <cfRule type="expression" dxfId="203" priority="97">
      <formula>I71="✓ Correct"</formula>
    </cfRule>
    <cfRule type="expression" dxfId="202" priority="98">
      <formula>I71="À revoir"</formula>
    </cfRule>
    <cfRule type="expression" dxfId="201" priority="99">
      <formula>I71="À faire"</formula>
    </cfRule>
  </conditionalFormatting>
  <conditionalFormatting sqref="I83">
    <cfRule type="expression" dxfId="200" priority="100">
      <formula>I83="✓ Correct"</formula>
    </cfRule>
    <cfRule type="expression" dxfId="199" priority="101">
      <formula>I83="À revoir"</formula>
    </cfRule>
    <cfRule type="expression" dxfId="198" priority="102">
      <formula>I83="À faire"</formula>
    </cfRule>
  </conditionalFormatting>
  <conditionalFormatting sqref="I106">
    <cfRule type="expression" dxfId="197" priority="103">
      <formula>I106="✓ Correct"</formula>
    </cfRule>
    <cfRule type="expression" dxfId="196" priority="104">
      <formula>I106="À revoir"</formula>
    </cfRule>
    <cfRule type="expression" dxfId="195" priority="105">
      <formula>I106="À faire"</formula>
    </cfRule>
  </conditionalFormatting>
  <conditionalFormatting sqref="I127">
    <cfRule type="expression" dxfId="194" priority="106">
      <formula>I127="✓ Correct"</formula>
    </cfRule>
    <cfRule type="expression" dxfId="193" priority="107">
      <formula>I127="À revoir"</formula>
    </cfRule>
    <cfRule type="expression" dxfId="192" priority="108">
      <formula>I127="À faire"</formula>
    </cfRule>
  </conditionalFormatting>
  <conditionalFormatting sqref="I147">
    <cfRule type="expression" dxfId="191" priority="109">
      <formula>I147="✓ Correct"</formula>
    </cfRule>
    <cfRule type="expression" dxfId="190" priority="110">
      <formula>I147="À revoir"</formula>
    </cfRule>
    <cfRule type="expression" dxfId="189" priority="111">
      <formula>I147="À faire"</formula>
    </cfRule>
  </conditionalFormatting>
  <conditionalFormatting sqref="I169">
    <cfRule type="expression" dxfId="188" priority="112">
      <formula>I169="✓ Correct"</formula>
    </cfRule>
    <cfRule type="expression" dxfId="187" priority="113">
      <formula>I169="À revoir"</formula>
    </cfRule>
    <cfRule type="expression" dxfId="186" priority="114">
      <formula>I169="À faire"</formula>
    </cfRule>
  </conditionalFormatting>
  <conditionalFormatting sqref="I190">
    <cfRule type="expression" dxfId="185" priority="115">
      <formula>I190="✓ Correct"</formula>
    </cfRule>
    <cfRule type="expression" dxfId="184" priority="116">
      <formula>I190="À revoir"</formula>
    </cfRule>
    <cfRule type="expression" dxfId="183" priority="117">
      <formula>I190="À faire"</formula>
    </cfRule>
  </conditionalFormatting>
  <conditionalFormatting sqref="I209">
    <cfRule type="expression" dxfId="182" priority="118">
      <formula>I209="✓ Correct"</formula>
    </cfRule>
    <cfRule type="expression" dxfId="181" priority="119">
      <formula>I209="À revoir"</formula>
    </cfRule>
    <cfRule type="expression" dxfId="180" priority="120">
      <formula>I209="À faire"</formula>
    </cfRule>
  </conditionalFormatting>
  <conditionalFormatting sqref="I230">
    <cfRule type="expression" dxfId="179" priority="121">
      <formula>I230="✓ Correct"</formula>
    </cfRule>
    <cfRule type="expression" dxfId="178" priority="122">
      <formula>I230="À revoir"</formula>
    </cfRule>
    <cfRule type="expression" dxfId="177" priority="123">
      <formula>I230="À faire"</formula>
    </cfRule>
  </conditionalFormatting>
  <conditionalFormatting sqref="I253">
    <cfRule type="expression" dxfId="176" priority="124">
      <formula>I253="✓ Correct"</formula>
    </cfRule>
    <cfRule type="expression" dxfId="175" priority="125">
      <formula>I253="À revoir"</formula>
    </cfRule>
    <cfRule type="expression" dxfId="174" priority="126">
      <formula>I253="À faire"</formula>
    </cfRule>
  </conditionalFormatting>
  <conditionalFormatting sqref="I272">
    <cfRule type="expression" dxfId="173" priority="127">
      <formula>I272="✓ Correct"</formula>
    </cfRule>
    <cfRule type="expression" dxfId="172" priority="128">
      <formula>I272="À revoir"</formula>
    </cfRule>
    <cfRule type="expression" dxfId="171" priority="129">
      <formula>I272="À faire"</formula>
    </cfRule>
  </conditionalFormatting>
  <conditionalFormatting sqref="I295">
    <cfRule type="expression" dxfId="170" priority="130">
      <formula>I295="✓ Correct"</formula>
    </cfRule>
    <cfRule type="expression" dxfId="169" priority="131">
      <formula>I295="À revoir"</formula>
    </cfRule>
    <cfRule type="expression" dxfId="168" priority="132">
      <formula>I295="À faire"</formula>
    </cfRule>
  </conditionalFormatting>
  <conditionalFormatting sqref="I316">
    <cfRule type="expression" dxfId="167" priority="133">
      <formula>I316="✓ Correct"</formula>
    </cfRule>
    <cfRule type="expression" dxfId="166" priority="134">
      <formula>I316="À revoir"</formula>
    </cfRule>
    <cfRule type="expression" dxfId="165" priority="135">
      <formula>I316="À faire"</formula>
    </cfRule>
  </conditionalFormatting>
  <conditionalFormatting sqref="I328">
    <cfRule type="expression" dxfId="164" priority="136">
      <formula>I328="✓ Correct"</formula>
    </cfRule>
    <cfRule type="expression" dxfId="163" priority="137">
      <formula>I328="À revoir"</formula>
    </cfRule>
    <cfRule type="expression" dxfId="162" priority="138">
      <formula>I328="À faire"</formula>
    </cfRule>
  </conditionalFormatting>
  <conditionalFormatting sqref="I340">
    <cfRule type="expression" dxfId="161" priority="139">
      <formula>I340="✓ Correct"</formula>
    </cfRule>
    <cfRule type="expression" dxfId="160" priority="140">
      <formula>I340="À revoir"</formula>
    </cfRule>
    <cfRule type="expression" dxfId="159" priority="141">
      <formula>I340="À faire"</formula>
    </cfRule>
  </conditionalFormatting>
  <conditionalFormatting sqref="I358">
    <cfRule type="expression" dxfId="158" priority="142">
      <formula>I358="✓ Correct"</formula>
    </cfRule>
    <cfRule type="expression" dxfId="157" priority="143">
      <formula>I358="À revoir"</formula>
    </cfRule>
    <cfRule type="expression" dxfId="156" priority="144">
      <formula>I358="À faire"</formula>
    </cfRule>
  </conditionalFormatting>
  <conditionalFormatting sqref="I374">
    <cfRule type="expression" dxfId="155" priority="145">
      <formula>I374="✓ Correct"</formula>
    </cfRule>
    <cfRule type="expression" dxfId="154" priority="146">
      <formula>I374="À revoir"</formula>
    </cfRule>
    <cfRule type="expression" dxfId="153" priority="147">
      <formula>I374="À faire"</formula>
    </cfRule>
  </conditionalFormatting>
  <conditionalFormatting sqref="I390">
    <cfRule type="expression" dxfId="152" priority="148">
      <formula>I390="✓ Correct"</formula>
    </cfRule>
    <cfRule type="expression" dxfId="151" priority="149">
      <formula>I390="À revoir"</formula>
    </cfRule>
    <cfRule type="expression" dxfId="150" priority="150">
      <formula>I390="À faire"</formula>
    </cfRule>
  </conditionalFormatting>
  <conditionalFormatting sqref="I409">
    <cfRule type="expression" dxfId="149" priority="151">
      <formula>I409="✓ Correct"</formula>
    </cfRule>
    <cfRule type="expression" dxfId="148" priority="152">
      <formula>I409="À revoir"</formula>
    </cfRule>
    <cfRule type="expression" dxfId="147" priority="153">
      <formula>I409="À faire"</formula>
    </cfRule>
  </conditionalFormatting>
  <conditionalFormatting sqref="I427">
    <cfRule type="expression" dxfId="146" priority="154">
      <formula>I427="✓ Correct"</formula>
    </cfRule>
    <cfRule type="expression" dxfId="145" priority="155">
      <formula>I427="À revoir"</formula>
    </cfRule>
    <cfRule type="expression" dxfId="144" priority="156">
      <formula>I427="À faire"</formula>
    </cfRule>
  </conditionalFormatting>
  <conditionalFormatting sqref="I449">
    <cfRule type="expression" dxfId="143" priority="157">
      <formula>I449="✓ Correct"</formula>
    </cfRule>
    <cfRule type="expression" dxfId="142" priority="158">
      <formula>I449="À revoir"</formula>
    </cfRule>
    <cfRule type="expression" dxfId="141" priority="159">
      <formula>I449="À faire"</formula>
    </cfRule>
  </conditionalFormatting>
  <conditionalFormatting sqref="I463">
    <cfRule type="expression" dxfId="140" priority="160">
      <formula>I463="✓ Correct"</formula>
    </cfRule>
    <cfRule type="expression" dxfId="139" priority="161">
      <formula>I463="À revoir"</formula>
    </cfRule>
    <cfRule type="expression" dxfId="138" priority="162">
      <formula>I463="À faire"</formula>
    </cfRule>
  </conditionalFormatting>
  <conditionalFormatting sqref="I480">
    <cfRule type="expression" dxfId="137" priority="163">
      <formula>I480="✓ Correct"</formula>
    </cfRule>
    <cfRule type="expression" dxfId="136" priority="164">
      <formula>I480="À revoir"</formula>
    </cfRule>
    <cfRule type="expression" dxfId="135" priority="165">
      <formula>I480="À faire"</formula>
    </cfRule>
  </conditionalFormatting>
  <conditionalFormatting sqref="I497">
    <cfRule type="expression" dxfId="134" priority="166">
      <formula>I497="✓ Correct"</formula>
    </cfRule>
    <cfRule type="expression" dxfId="133" priority="167">
      <formula>I497="À revoir"</formula>
    </cfRule>
    <cfRule type="expression" dxfId="132" priority="168">
      <formula>I497="À faire"</formula>
    </cfRule>
  </conditionalFormatting>
  <conditionalFormatting sqref="I514">
    <cfRule type="expression" dxfId="131" priority="169">
      <formula>I514="✓ Correct"</formula>
    </cfRule>
    <cfRule type="expression" dxfId="130" priority="170">
      <formula>I514="À revoir"</formula>
    </cfRule>
    <cfRule type="expression" dxfId="129" priority="171">
      <formula>I514="À faire"</formula>
    </cfRule>
  </conditionalFormatting>
  <conditionalFormatting sqref="I533">
    <cfRule type="expression" dxfId="128" priority="172">
      <formula>I533="✓ Correct"</formula>
    </cfRule>
    <cfRule type="expression" dxfId="127" priority="173">
      <formula>I533="À revoir"</formula>
    </cfRule>
    <cfRule type="expression" dxfId="126" priority="174">
      <formula>I533="À faire"</formula>
    </cfRule>
  </conditionalFormatting>
  <conditionalFormatting sqref="I554">
    <cfRule type="expression" dxfId="125" priority="175">
      <formula>I554="✓ Correct"</formula>
    </cfRule>
    <cfRule type="expression" dxfId="124" priority="176">
      <formula>I554="À revoir"</formula>
    </cfRule>
    <cfRule type="expression" dxfId="123" priority="177">
      <formula>I554="À faire"</formula>
    </cfRule>
  </conditionalFormatting>
  <conditionalFormatting sqref="I570">
    <cfRule type="expression" dxfId="122" priority="178">
      <formula>I570="✓ Correct"</formula>
    </cfRule>
    <cfRule type="expression" dxfId="121" priority="179">
      <formula>I570="À revoir"</formula>
    </cfRule>
    <cfRule type="expression" dxfId="120" priority="180">
      <formula>I570="À faire"</formula>
    </cfRule>
  </conditionalFormatting>
  <hyperlinks>
    <hyperlink ref="I2" location="SOMMAIRE!A1" display="SOMMAIR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54"/>
  <sheetViews>
    <sheetView showGridLines="0" workbookViewId="0"/>
  </sheetViews>
  <sheetFormatPr baseColWidth="10" defaultColWidth="9" defaultRowHeight="14.25"/>
  <cols>
    <col min="1" max="1" width="3" customWidth="1"/>
    <col min="2" max="2" width="31" customWidth="1"/>
    <col min="3" max="3" width="62" customWidth="1"/>
    <col min="4" max="4" width="10.5" customWidth="1"/>
    <col min="5" max="5" width="9.5" customWidth="1"/>
    <col min="6" max="6" width="11.625" customWidth="1"/>
    <col min="7" max="7" width="18" customWidth="1"/>
    <col min="8" max="8" width="12" customWidth="1"/>
    <col min="9" max="10" width="13" customWidth="1"/>
  </cols>
  <sheetData>
    <row r="1" spans="1:10">
      <c r="A1" s="42"/>
      <c r="B1" s="42"/>
      <c r="C1" s="42"/>
      <c r="D1" s="42"/>
      <c r="E1" s="42"/>
      <c r="F1" s="42"/>
      <c r="G1" s="42"/>
      <c r="H1" s="42"/>
      <c r="I1" s="42"/>
      <c r="J1" s="42"/>
    </row>
    <row r="2" spans="1:10" ht="19.5">
      <c r="A2" s="42"/>
      <c r="B2" s="43" t="s">
        <v>517</v>
      </c>
      <c r="C2" s="42"/>
      <c r="D2" s="42"/>
      <c r="E2" s="42"/>
      <c r="F2" s="42"/>
      <c r="G2" s="42"/>
      <c r="H2" s="42"/>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6" spans="1:10">
      <c r="B6" s="45" t="s">
        <v>897</v>
      </c>
      <c r="C6" s="45" t="s">
        <v>898</v>
      </c>
    </row>
    <row r="7" spans="1:10" ht="33.950000000000003" customHeight="1">
      <c r="B7" s="47" t="s">
        <v>519</v>
      </c>
      <c r="C7" s="46" t="s">
        <v>520</v>
      </c>
    </row>
    <row r="8" spans="1:10" ht="33.950000000000003" customHeight="1">
      <c r="B8" s="47" t="s">
        <v>522</v>
      </c>
      <c r="C8" s="46" t="s">
        <v>523</v>
      </c>
    </row>
    <row r="9" spans="1:10" ht="33.950000000000003" customHeight="1">
      <c r="B9" s="47" t="s">
        <v>525</v>
      </c>
      <c r="C9" s="46" t="s">
        <v>526</v>
      </c>
    </row>
    <row r="10" spans="1:10" ht="33.950000000000003" customHeight="1">
      <c r="B10" s="47" t="s">
        <v>529</v>
      </c>
      <c r="C10" s="46" t="s">
        <v>530</v>
      </c>
    </row>
    <row r="11" spans="1:10" ht="33.950000000000003" customHeight="1">
      <c r="B11" s="47" t="s">
        <v>533</v>
      </c>
      <c r="C11" s="46" t="s">
        <v>534</v>
      </c>
    </row>
    <row r="12" spans="1:10" ht="33.950000000000003" customHeight="1">
      <c r="B12" s="47" t="s">
        <v>536</v>
      </c>
      <c r="C12" s="46" t="s">
        <v>537</v>
      </c>
    </row>
    <row r="13" spans="1:10" ht="33.950000000000003" customHeight="1">
      <c r="B13" s="47" t="s">
        <v>540</v>
      </c>
      <c r="C13" s="46" t="s">
        <v>541</v>
      </c>
    </row>
    <row r="14" spans="1:10" ht="33.950000000000003" customHeight="1">
      <c r="B14" s="47" t="s">
        <v>543</v>
      </c>
      <c r="C14" s="46" t="s">
        <v>544</v>
      </c>
    </row>
    <row r="15" spans="1:10" ht="33.950000000000003" customHeight="1">
      <c r="B15" s="47" t="s">
        <v>547</v>
      </c>
      <c r="C15" s="46" t="s">
        <v>548</v>
      </c>
    </row>
    <row r="16" spans="1:10" ht="33.950000000000003" customHeight="1">
      <c r="B16" s="47" t="s">
        <v>550</v>
      </c>
      <c r="C16" s="46" t="s">
        <v>551</v>
      </c>
    </row>
    <row r="17" spans="2:9" ht="33.950000000000003" customHeight="1">
      <c r="B17" s="47" t="s">
        <v>554</v>
      </c>
      <c r="C17" s="46" t="s">
        <v>555</v>
      </c>
    </row>
    <row r="18" spans="2:9" ht="33.950000000000003" customHeight="1">
      <c r="B18" s="47" t="s">
        <v>557</v>
      </c>
      <c r="C18" s="46" t="s">
        <v>558</v>
      </c>
    </row>
    <row r="19" spans="2:9" ht="33.950000000000003" customHeight="1">
      <c r="B19" s="47" t="s">
        <v>560</v>
      </c>
      <c r="C19" s="46" t="s">
        <v>561</v>
      </c>
    </row>
    <row r="20" spans="2:9" ht="33.950000000000003" customHeight="1">
      <c r="B20" s="47" t="s">
        <v>563</v>
      </c>
      <c r="C20" s="46" t="s">
        <v>564</v>
      </c>
    </row>
    <row r="21" spans="2:9" ht="33.950000000000003" customHeight="1">
      <c r="B21" s="47" t="s">
        <v>566</v>
      </c>
      <c r="C21" s="46" t="s">
        <v>567</v>
      </c>
    </row>
    <row r="22" spans="2:9" ht="33.950000000000003" customHeight="1">
      <c r="B22" s="47" t="s">
        <v>569</v>
      </c>
      <c r="C22" s="46" t="s">
        <v>570</v>
      </c>
    </row>
    <row r="23" spans="2:9" ht="33.950000000000003" customHeight="1">
      <c r="B23" s="47" t="s">
        <v>572</v>
      </c>
      <c r="C23" s="46" t="s">
        <v>573</v>
      </c>
    </row>
    <row r="24" spans="2:9" ht="33.950000000000003" customHeight="1">
      <c r="B24" s="35" t="s">
        <v>575</v>
      </c>
      <c r="C24" s="34" t="s">
        <v>576</v>
      </c>
    </row>
    <row r="28" spans="2:9" ht="15">
      <c r="B28" s="570" t="s">
        <v>1770</v>
      </c>
      <c r="C28" s="570"/>
      <c r="D28" s="570"/>
      <c r="E28" s="570"/>
      <c r="F28" s="570"/>
      <c r="G28" s="570"/>
      <c r="H28" s="570"/>
      <c r="I28" s="570"/>
    </row>
    <row r="30" spans="2:9" ht="15">
      <c r="B30" s="582" t="s">
        <v>1771</v>
      </c>
      <c r="C30" s="582"/>
      <c r="D30" s="582"/>
      <c r="E30" s="582"/>
      <c r="F30" s="582"/>
      <c r="G30" s="582"/>
      <c r="H30" s="582"/>
      <c r="I30" s="582"/>
    </row>
    <row r="32" spans="2:9" ht="15">
      <c r="B32" s="580" t="s">
        <v>1772</v>
      </c>
      <c r="C32" s="580"/>
      <c r="D32" s="580"/>
      <c r="E32" s="580"/>
      <c r="F32" s="580"/>
      <c r="G32" s="580"/>
      <c r="H32" s="246" t="s">
        <v>901</v>
      </c>
      <c r="I32" s="247" t="s">
        <v>902</v>
      </c>
    </row>
    <row r="34" spans="2:9" ht="15">
      <c r="B34" s="581" t="s">
        <v>1773</v>
      </c>
      <c r="C34" s="581"/>
      <c r="D34" s="581"/>
      <c r="E34" s="581"/>
      <c r="F34" s="581"/>
      <c r="G34" s="581"/>
      <c r="H34" s="581"/>
      <c r="I34" s="581"/>
    </row>
    <row r="36" spans="2:9" ht="15">
      <c r="B36" s="267" t="s">
        <v>26</v>
      </c>
    </row>
    <row r="37" spans="2:9">
      <c r="B37" s="264">
        <v>18</v>
      </c>
    </row>
    <row r="38" spans="2:9">
      <c r="B38" s="264">
        <v>22</v>
      </c>
    </row>
    <row r="39" spans="2:9">
      <c r="B39" s="264">
        <v>15</v>
      </c>
    </row>
    <row r="40" spans="2:9">
      <c r="B40" s="264">
        <v>25</v>
      </c>
    </row>
    <row r="41" spans="2:9">
      <c r="B41" s="264">
        <v>20</v>
      </c>
    </row>
    <row r="43" spans="2:9" ht="15">
      <c r="B43" s="423" t="s">
        <v>1774</v>
      </c>
      <c r="C43" s="589" t="s">
        <v>1775</v>
      </c>
      <c r="D43" s="590"/>
      <c r="E43" s="590"/>
      <c r="F43" s="591"/>
    </row>
    <row r="44" spans="2:9">
      <c r="B44" t="s">
        <v>1776</v>
      </c>
      <c r="C44" s="602" t="str">
        <f>"'"&amp;"=SOMME(B37:B41)"</f>
        <v>'=SOMME(B37:B41)</v>
      </c>
      <c r="D44" s="602"/>
      <c r="E44" s="602"/>
      <c r="F44" s="602"/>
    </row>
    <row r="45" spans="2:9" ht="15">
      <c r="B45" s="423" t="s">
        <v>1777</v>
      </c>
      <c r="C45" s="583"/>
      <c r="D45" s="584"/>
      <c r="E45" s="584"/>
      <c r="F45" s="585"/>
      <c r="G45" s="304"/>
    </row>
    <row r="46" spans="2:9">
      <c r="C46" s="304"/>
      <c r="D46" s="304"/>
      <c r="E46" s="304"/>
      <c r="F46" s="304"/>
    </row>
    <row r="47" spans="2:9" ht="15">
      <c r="H47" s="249" t="s">
        <v>909</v>
      </c>
      <c r="I47" s="250" t="str">
        <f>IF(C45="","À faire",IFERROR(IF(C45=100,"✓ Correct","À revoir"),"À revoir"))</f>
        <v>À faire</v>
      </c>
    </row>
    <row r="49" spans="2:9" ht="15">
      <c r="B49" s="580" t="s">
        <v>1778</v>
      </c>
      <c r="C49" s="580"/>
      <c r="D49" s="580"/>
      <c r="E49" s="580"/>
      <c r="F49" s="580"/>
      <c r="G49" s="580"/>
      <c r="H49" s="246" t="s">
        <v>901</v>
      </c>
      <c r="I49" s="247" t="s">
        <v>902</v>
      </c>
    </row>
    <row r="51" spans="2:9" ht="15">
      <c r="B51" s="581" t="s">
        <v>1779</v>
      </c>
      <c r="C51" s="581"/>
      <c r="D51" s="581"/>
      <c r="E51" s="581"/>
      <c r="F51" s="581"/>
      <c r="G51" s="581"/>
      <c r="H51" s="581"/>
      <c r="I51" s="581"/>
    </row>
    <row r="53" spans="2:9" ht="15">
      <c r="B53" s="251" t="s">
        <v>933</v>
      </c>
      <c r="C53" s="252" t="s">
        <v>932</v>
      </c>
    </row>
    <row r="54" spans="2:9">
      <c r="B54" s="253">
        <v>24.9</v>
      </c>
      <c r="C54" s="254">
        <v>4</v>
      </c>
    </row>
    <row r="55" spans="2:9">
      <c r="C55" s="304"/>
      <c r="D55" s="304"/>
      <c r="E55" s="304"/>
      <c r="F55" s="304"/>
    </row>
    <row r="56" spans="2:9" ht="15">
      <c r="B56" s="423" t="s">
        <v>1780</v>
      </c>
      <c r="C56" s="603" t="s">
        <v>1781</v>
      </c>
      <c r="D56" s="604"/>
      <c r="E56" s="604"/>
      <c r="F56" s="605"/>
      <c r="G56" s="304"/>
    </row>
    <row r="57" spans="2:9">
      <c r="C57" s="304"/>
      <c r="D57" s="304"/>
      <c r="E57" s="304"/>
      <c r="F57" s="304"/>
    </row>
    <row r="58" spans="2:9" ht="15">
      <c r="H58" s="249" t="s">
        <v>909</v>
      </c>
      <c r="I58" s="250" t="str">
        <f>IF(NOT(ISNUMBER(C56)),"À faire",IF(ABS(C56-99.6)&lt;0.001,"✓ Correct","À revoir"))</f>
        <v>À faire</v>
      </c>
    </row>
    <row r="60" spans="2:9" ht="15">
      <c r="B60" s="582" t="s">
        <v>1782</v>
      </c>
      <c r="C60" s="582"/>
      <c r="D60" s="582"/>
      <c r="E60" s="582"/>
      <c r="F60" s="582"/>
      <c r="G60" s="582"/>
      <c r="H60" s="582"/>
      <c r="I60" s="582"/>
    </row>
    <row r="62" spans="2:9" ht="15">
      <c r="B62" s="580" t="s">
        <v>1783</v>
      </c>
      <c r="C62" s="580"/>
      <c r="D62" s="580"/>
      <c r="E62" s="580"/>
      <c r="F62" s="580"/>
      <c r="G62" s="580"/>
      <c r="H62" s="246" t="s">
        <v>930</v>
      </c>
      <c r="I62" s="247" t="s">
        <v>902</v>
      </c>
    </row>
    <row r="64" spans="2:9" ht="15">
      <c r="B64" s="581" t="s">
        <v>1784</v>
      </c>
      <c r="C64" s="581"/>
      <c r="D64" s="581"/>
      <c r="E64" s="581"/>
      <c r="F64" s="581"/>
      <c r="G64" s="581"/>
      <c r="H64" s="581"/>
      <c r="I64" s="581"/>
    </row>
    <row r="66" spans="2:9" ht="15">
      <c r="B66" s="267" t="s">
        <v>57</v>
      </c>
    </row>
    <row r="67" spans="2:9">
      <c r="B67" s="264">
        <v>12.4</v>
      </c>
    </row>
    <row r="68" spans="2:9">
      <c r="B68" s="264">
        <v>15.8</v>
      </c>
    </row>
    <row r="69" spans="2:9">
      <c r="B69" s="264">
        <v>14.1</v>
      </c>
    </row>
    <row r="70" spans="2:9">
      <c r="B70" s="264">
        <v>16.2</v>
      </c>
    </row>
    <row r="71" spans="2:9">
      <c r="B71" s="264">
        <v>13.7</v>
      </c>
    </row>
    <row r="73" spans="2:9" ht="15">
      <c r="B73" s="423" t="s">
        <v>1785</v>
      </c>
      <c r="C73" s="589" t="s">
        <v>1786</v>
      </c>
      <c r="D73" s="590"/>
      <c r="E73" s="590"/>
      <c r="F73" s="591"/>
    </row>
    <row r="74" spans="2:9">
      <c r="C74" s="304"/>
      <c r="D74" s="304"/>
      <c r="E74" s="304"/>
      <c r="F74" s="304"/>
    </row>
    <row r="75" spans="2:9" ht="15">
      <c r="B75" s="423" t="s">
        <v>1777</v>
      </c>
      <c r="C75" s="583"/>
      <c r="D75" s="584"/>
      <c r="E75" s="584"/>
      <c r="F75" s="585"/>
      <c r="G75" s="304"/>
    </row>
    <row r="76" spans="2:9">
      <c r="C76" s="304"/>
      <c r="D76" s="304"/>
      <c r="E76" s="304"/>
      <c r="F76" s="304"/>
    </row>
    <row r="77" spans="2:9" ht="15">
      <c r="H77" s="249" t="s">
        <v>909</v>
      </c>
      <c r="I77" s="250" t="str">
        <f>IF(C75="","À faire",IFERROR(IF(C75="OK","✓ Correct","À revoir"),"À revoir"))</f>
        <v>À faire</v>
      </c>
    </row>
    <row r="79" spans="2:9" ht="15">
      <c r="B79" s="580" t="s">
        <v>1787</v>
      </c>
      <c r="C79" s="580"/>
      <c r="D79" s="580"/>
      <c r="E79" s="580"/>
      <c r="F79" s="580"/>
      <c r="G79" s="580"/>
      <c r="H79" s="246" t="s">
        <v>901</v>
      </c>
      <c r="I79" s="247" t="s">
        <v>902</v>
      </c>
    </row>
    <row r="81" spans="2:9" ht="15">
      <c r="B81" s="581" t="s">
        <v>1788</v>
      </c>
      <c r="C81" s="581"/>
      <c r="D81" s="581"/>
      <c r="E81" s="581"/>
      <c r="F81" s="581"/>
      <c r="G81" s="581"/>
      <c r="H81" s="581"/>
      <c r="I81" s="581"/>
    </row>
    <row r="83" spans="2:9" ht="15">
      <c r="B83" s="251" t="s">
        <v>1789</v>
      </c>
      <c r="C83" s="436"/>
      <c r="D83" s="252" t="s">
        <v>1790</v>
      </c>
    </row>
    <row r="84" spans="2:9">
      <c r="B84" s="264">
        <v>45</v>
      </c>
      <c r="C84" s="262"/>
      <c r="D84" s="437">
        <v>75</v>
      </c>
    </row>
    <row r="86" spans="2:9" ht="15">
      <c r="B86" s="423" t="s">
        <v>1785</v>
      </c>
      <c r="C86" s="589" t="s">
        <v>1791</v>
      </c>
      <c r="D86" s="590"/>
      <c r="E86" s="590"/>
      <c r="F86" s="591"/>
    </row>
    <row r="87" spans="2:9">
      <c r="C87" s="304"/>
      <c r="D87" s="304"/>
      <c r="E87" s="304"/>
      <c r="F87" s="304"/>
    </row>
    <row r="88" spans="2:9" ht="15">
      <c r="B88" s="423" t="s">
        <v>1777</v>
      </c>
      <c r="C88" s="583"/>
      <c r="D88" s="584"/>
      <c r="E88" s="584"/>
      <c r="F88" s="585"/>
      <c r="G88" s="304"/>
    </row>
    <row r="89" spans="2:9">
      <c r="C89" s="304"/>
      <c r="D89" s="304"/>
      <c r="E89" s="304"/>
      <c r="F89" s="304"/>
    </row>
    <row r="90" spans="2:9" ht="15">
      <c r="H90" s="249" t="s">
        <v>909</v>
      </c>
      <c r="I90" s="250" t="str">
        <f>IF(C88="","À faire",IFERROR(IF(C88=120,"✓ Correct","À revoir"),"À revoir"))</f>
        <v>À faire</v>
      </c>
    </row>
    <row r="92" spans="2:9" ht="15">
      <c r="B92" s="580" t="s">
        <v>1792</v>
      </c>
      <c r="C92" s="580"/>
      <c r="D92" s="580"/>
      <c r="E92" s="580"/>
      <c r="F92" s="580"/>
      <c r="G92" s="580"/>
      <c r="H92" s="246" t="s">
        <v>930</v>
      </c>
      <c r="I92" s="247" t="s">
        <v>902</v>
      </c>
    </row>
    <row r="94" spans="2:9" ht="15">
      <c r="B94" s="581" t="s">
        <v>1793</v>
      </c>
      <c r="C94" s="581"/>
      <c r="D94" s="581"/>
      <c r="E94" s="581"/>
      <c r="F94" s="581"/>
      <c r="G94" s="581"/>
      <c r="H94" s="581"/>
      <c r="I94" s="581"/>
    </row>
    <row r="96" spans="2:9" ht="15">
      <c r="B96" s="248" t="s">
        <v>26</v>
      </c>
    </row>
    <row r="97" spans="2:9">
      <c r="B97" s="256">
        <v>125</v>
      </c>
    </row>
    <row r="99" spans="2:9" ht="15">
      <c r="B99" s="423" t="s">
        <v>1785</v>
      </c>
      <c r="C99" s="589" t="s">
        <v>1794</v>
      </c>
      <c r="D99" s="590"/>
      <c r="E99" s="590"/>
      <c r="F99" s="590"/>
      <c r="G99" s="591"/>
    </row>
    <row r="100" spans="2:9">
      <c r="C100" s="304"/>
      <c r="D100" s="304"/>
      <c r="E100" s="304"/>
      <c r="F100" s="304"/>
      <c r="G100" s="304"/>
    </row>
    <row r="101" spans="2:9" ht="15">
      <c r="B101" s="423" t="s">
        <v>1777</v>
      </c>
      <c r="C101" s="583"/>
      <c r="D101" s="584"/>
      <c r="E101" s="584"/>
      <c r="F101" s="584"/>
      <c r="G101" s="585"/>
      <c r="H101" s="304"/>
    </row>
    <row r="102" spans="2:9">
      <c r="C102" s="304"/>
      <c r="D102" s="304"/>
      <c r="E102" s="304"/>
      <c r="F102" s="304"/>
      <c r="G102" s="304"/>
    </row>
    <row r="103" spans="2:9" ht="15">
      <c r="H103" s="249" t="s">
        <v>909</v>
      </c>
      <c r="I103" s="250" t="str">
        <f>IF(C101="","À faire",IFERROR(IF(C101="Priorité","✓ Correct","À revoir"),"À revoir"))</f>
        <v>À faire</v>
      </c>
    </row>
    <row r="105" spans="2:9" ht="15">
      <c r="B105" s="582" t="s">
        <v>525</v>
      </c>
      <c r="C105" s="582"/>
      <c r="D105" s="582"/>
      <c r="E105" s="582"/>
      <c r="F105" s="582"/>
      <c r="G105" s="582"/>
      <c r="H105" s="582"/>
      <c r="I105" s="582"/>
    </row>
    <row r="107" spans="2:9" ht="15">
      <c r="B107" s="580" t="s">
        <v>1795</v>
      </c>
      <c r="C107" s="580"/>
      <c r="D107" s="580"/>
      <c r="E107" s="580"/>
      <c r="F107" s="580"/>
      <c r="G107" s="580"/>
      <c r="H107" s="246" t="s">
        <v>901</v>
      </c>
      <c r="I107" s="247" t="s">
        <v>902</v>
      </c>
    </row>
    <row r="109" spans="2:9" ht="15">
      <c r="B109" s="581" t="s">
        <v>1796</v>
      </c>
      <c r="C109" s="581"/>
      <c r="D109" s="581"/>
      <c r="E109" s="581"/>
      <c r="F109" s="581"/>
      <c r="G109" s="581"/>
      <c r="H109" s="581"/>
      <c r="I109" s="581"/>
    </row>
    <row r="111" spans="2:9" ht="15">
      <c r="B111" s="267" t="s">
        <v>1102</v>
      </c>
    </row>
    <row r="112" spans="2:9">
      <c r="B112" s="264">
        <v>12</v>
      </c>
    </row>
    <row r="113" spans="2:9">
      <c r="B113" s="264">
        <v>18</v>
      </c>
    </row>
    <row r="114" spans="2:9">
      <c r="B114" s="264">
        <v>15</v>
      </c>
    </row>
    <row r="115" spans="2:9">
      <c r="B115" s="264">
        <v>21</v>
      </c>
    </row>
    <row r="117" spans="2:9" ht="15">
      <c r="B117" s="423" t="s">
        <v>1797</v>
      </c>
      <c r="C117" s="589" t="s">
        <v>1798</v>
      </c>
      <c r="D117" s="590"/>
      <c r="E117" s="590"/>
      <c r="F117" s="591"/>
    </row>
    <row r="118" spans="2:9">
      <c r="C118" s="304"/>
      <c r="D118" s="304"/>
      <c r="E118" s="304"/>
      <c r="F118" s="304"/>
    </row>
    <row r="119" spans="2:9" ht="15">
      <c r="B119" s="423" t="s">
        <v>1777</v>
      </c>
      <c r="C119" s="583"/>
      <c r="D119" s="584"/>
      <c r="E119" s="584"/>
      <c r="F119" s="585"/>
      <c r="G119" s="304"/>
    </row>
    <row r="120" spans="2:9">
      <c r="C120" s="304"/>
      <c r="D120" s="304"/>
      <c r="E120" s="304"/>
      <c r="F120" s="304"/>
    </row>
    <row r="121" spans="2:9" ht="15">
      <c r="H121" s="249" t="s">
        <v>909</v>
      </c>
      <c r="I121" s="250" t="str">
        <f>IF(C119="","À faire",IFERROR(IF(ABS(C119-16.5)&lt;0.001,"✓ Correct","À revoir"),"À revoir"))</f>
        <v>À faire</v>
      </c>
    </row>
    <row r="123" spans="2:9" ht="15">
      <c r="B123" s="580" t="s">
        <v>1799</v>
      </c>
      <c r="C123" s="580"/>
      <c r="D123" s="580"/>
      <c r="E123" s="580"/>
      <c r="F123" s="580"/>
      <c r="G123" s="580"/>
      <c r="H123" s="246" t="s">
        <v>930</v>
      </c>
      <c r="I123" s="247" t="s">
        <v>902</v>
      </c>
    </row>
    <row r="125" spans="2:9" ht="15">
      <c r="B125" s="581" t="s">
        <v>1800</v>
      </c>
      <c r="C125" s="581"/>
      <c r="D125" s="581"/>
      <c r="E125" s="581"/>
      <c r="F125" s="581"/>
      <c r="G125" s="581"/>
      <c r="H125" s="581"/>
      <c r="I125" s="581"/>
    </row>
    <row r="127" spans="2:9" ht="15">
      <c r="B127" s="251" t="s">
        <v>1739</v>
      </c>
      <c r="C127" s="252" t="s">
        <v>932</v>
      </c>
    </row>
    <row r="128" spans="2:9">
      <c r="B128" s="253">
        <v>80</v>
      </c>
      <c r="C128" s="254">
        <v>3</v>
      </c>
    </row>
    <row r="129" spans="2:10" ht="15">
      <c r="E129" s="248" t="s">
        <v>1740</v>
      </c>
      <c r="F129" s="257">
        <v>0.2</v>
      </c>
    </row>
    <row r="131" spans="2:10" ht="15">
      <c r="B131" s="423" t="s">
        <v>1797</v>
      </c>
      <c r="C131" s="589" t="s">
        <v>1801</v>
      </c>
      <c r="D131" s="590"/>
      <c r="E131" s="590"/>
      <c r="F131" s="590"/>
      <c r="G131" s="591"/>
    </row>
    <row r="132" spans="2:10">
      <c r="C132" s="304"/>
      <c r="D132" s="304"/>
      <c r="E132" s="304"/>
      <c r="F132" s="304"/>
      <c r="G132" s="304"/>
    </row>
    <row r="133" spans="2:10" ht="15">
      <c r="B133" s="423" t="s">
        <v>1777</v>
      </c>
      <c r="C133" s="583"/>
      <c r="D133" s="584"/>
      <c r="E133" s="584"/>
      <c r="F133" s="584"/>
      <c r="G133" s="585"/>
      <c r="H133" s="304"/>
    </row>
    <row r="134" spans="2:10">
      <c r="C134" s="304"/>
      <c r="D134" s="304"/>
      <c r="E134" s="304"/>
      <c r="F134" s="304"/>
      <c r="G134" s="304"/>
    </row>
    <row r="135" spans="2:10" ht="15">
      <c r="H135" s="249" t="s">
        <v>909</v>
      </c>
      <c r="I135" s="250" t="str">
        <f>IF(C133="","À faire",IFERROR(IF(ABS(C133-288)&lt;0.001,"✓ Correct","À revoir"),"À revoir"))</f>
        <v>À faire</v>
      </c>
    </row>
    <row r="137" spans="2:10" ht="15">
      <c r="B137" s="582" t="s">
        <v>529</v>
      </c>
      <c r="C137" s="582"/>
      <c r="D137" s="582"/>
      <c r="E137" s="582"/>
      <c r="F137" s="582"/>
      <c r="G137" s="582"/>
      <c r="H137" s="582"/>
      <c r="I137" s="582"/>
    </row>
    <row r="139" spans="2:10" ht="15">
      <c r="B139" s="580" t="s">
        <v>1802</v>
      </c>
      <c r="C139" s="580"/>
      <c r="D139" s="580"/>
      <c r="E139" s="580"/>
      <c r="F139" s="580"/>
      <c r="G139" s="580"/>
      <c r="H139" s="246" t="s">
        <v>930</v>
      </c>
      <c r="I139" s="247" t="s">
        <v>902</v>
      </c>
    </row>
    <row r="141" spans="2:10" ht="15">
      <c r="B141" s="581" t="s">
        <v>1803</v>
      </c>
      <c r="C141" s="581"/>
      <c r="D141" s="581"/>
      <c r="E141" s="581"/>
      <c r="F141" s="581"/>
      <c r="G141" s="581"/>
      <c r="H141" s="581"/>
      <c r="I141" s="581"/>
    </row>
    <row r="143" spans="2:10" ht="15">
      <c r="B143" s="429" t="s">
        <v>1225</v>
      </c>
      <c r="C143" s="430" t="s">
        <v>24</v>
      </c>
      <c r="D143" s="431" t="s">
        <v>1441</v>
      </c>
      <c r="I143" s="304"/>
    </row>
    <row r="144" spans="2:10" ht="30">
      <c r="B144" s="255" t="s">
        <v>1313</v>
      </c>
      <c r="C144" s="265" t="s">
        <v>934</v>
      </c>
      <c r="D144" s="266">
        <v>24.9</v>
      </c>
      <c r="H144" s="423" t="s">
        <v>1368</v>
      </c>
      <c r="I144" s="442" t="s">
        <v>1804</v>
      </c>
      <c r="J144" s="304"/>
    </row>
    <row r="145" spans="2:9">
      <c r="B145" s="255" t="s">
        <v>1316</v>
      </c>
      <c r="C145" s="265" t="s">
        <v>935</v>
      </c>
      <c r="D145" s="266">
        <v>19.899999999999999</v>
      </c>
      <c r="I145" s="304"/>
    </row>
    <row r="146" spans="2:9">
      <c r="B146" s="255" t="s">
        <v>1318</v>
      </c>
      <c r="C146" s="265" t="s">
        <v>1084</v>
      </c>
      <c r="D146" s="266">
        <v>39.9</v>
      </c>
    </row>
    <row r="147" spans="2:9">
      <c r="B147" s="255" t="s">
        <v>1321</v>
      </c>
      <c r="C147" s="265" t="s">
        <v>1717</v>
      </c>
      <c r="D147" s="266">
        <v>34.549999999999997</v>
      </c>
    </row>
    <row r="149" spans="2:9" ht="15">
      <c r="B149" s="423" t="s">
        <v>1805</v>
      </c>
      <c r="C149" s="425" t="e">
        <f>VLOOKUP(I144,B144:D147,3,FALSE)</f>
        <v>#N/A</v>
      </c>
    </row>
    <row r="151" spans="2:9" ht="15">
      <c r="H151" s="249" t="s">
        <v>909</v>
      </c>
      <c r="I151" s="250" t="str">
        <f>IF(I144="P104","À faire",IFERROR(IF(AND(I144="P-104",ABS(C149-34.55)&lt;0.001),"✓ Correct","À revoir"),"À revoir"))</f>
        <v>À faire</v>
      </c>
    </row>
    <row r="153" spans="2:9" ht="15">
      <c r="B153" s="580" t="s">
        <v>1806</v>
      </c>
      <c r="C153" s="580"/>
      <c r="D153" s="580"/>
      <c r="E153" s="580"/>
      <c r="F153" s="580"/>
      <c r="G153" s="580"/>
      <c r="H153" s="246" t="s">
        <v>930</v>
      </c>
      <c r="I153" s="261" t="s">
        <v>1386</v>
      </c>
    </row>
    <row r="155" spans="2:9" ht="15">
      <c r="B155" s="581" t="s">
        <v>1807</v>
      </c>
      <c r="C155" s="581"/>
      <c r="D155" s="581"/>
      <c r="E155" s="581"/>
      <c r="F155" s="581"/>
      <c r="G155" s="581"/>
      <c r="H155" s="581"/>
      <c r="I155" s="581"/>
    </row>
    <row r="157" spans="2:9" ht="15">
      <c r="B157" s="429" t="s">
        <v>1636</v>
      </c>
      <c r="C157" s="431" t="s">
        <v>1087</v>
      </c>
    </row>
    <row r="158" spans="2:9" ht="30">
      <c r="B158" s="255" t="s">
        <v>1638</v>
      </c>
      <c r="C158" s="254" t="s">
        <v>964</v>
      </c>
      <c r="H158" s="423" t="s">
        <v>1368</v>
      </c>
      <c r="I158" s="426" t="s">
        <v>1808</v>
      </c>
    </row>
    <row r="159" spans="2:9">
      <c r="B159" s="255" t="s">
        <v>1637</v>
      </c>
      <c r="C159" s="254" t="s">
        <v>1088</v>
      </c>
    </row>
    <row r="160" spans="2:9">
      <c r="B160" s="255" t="s">
        <v>1642</v>
      </c>
      <c r="C160" s="254" t="s">
        <v>1089</v>
      </c>
    </row>
    <row r="161" spans="1:9">
      <c r="C161" s="304"/>
      <c r="D161" s="304"/>
      <c r="E161" s="304"/>
      <c r="F161" s="304"/>
    </row>
    <row r="162" spans="1:9" ht="15">
      <c r="B162" s="423" t="s">
        <v>1809</v>
      </c>
      <c r="C162" s="583" t="e">
        <f>_xlfn.XLOOKUP(I158,B158:B160,C158:C160)</f>
        <v>#N/A</v>
      </c>
      <c r="D162" s="584"/>
      <c r="E162" s="584"/>
      <c r="F162" s="585"/>
      <c r="G162" s="304"/>
    </row>
    <row r="163" spans="1:9">
      <c r="C163" s="304"/>
      <c r="D163" s="304"/>
      <c r="E163" s="304"/>
      <c r="F163" s="304"/>
    </row>
    <row r="164" spans="1:9" ht="15">
      <c r="H164" s="249" t="s">
        <v>909</v>
      </c>
      <c r="I164" s="250" t="str">
        <f>IFERROR(IF(C162="Client absent","✓ Correct","À revoir"),"À faire")</f>
        <v>À faire</v>
      </c>
    </row>
    <row r="166" spans="1:9" ht="15">
      <c r="B166" s="582" t="s">
        <v>533</v>
      </c>
      <c r="C166" s="582"/>
      <c r="D166" s="582"/>
      <c r="E166" s="582"/>
      <c r="F166" s="582"/>
      <c r="G166" s="582"/>
      <c r="H166" s="582"/>
      <c r="I166" s="582"/>
    </row>
    <row r="168" spans="1:9" ht="15">
      <c r="B168" s="580" t="s">
        <v>1810</v>
      </c>
      <c r="C168" s="580"/>
      <c r="D168" s="580"/>
      <c r="E168" s="580"/>
      <c r="F168" s="580"/>
      <c r="G168" s="580"/>
      <c r="H168" s="246" t="s">
        <v>930</v>
      </c>
      <c r="I168" s="247" t="s">
        <v>902</v>
      </c>
    </row>
    <row r="170" spans="1:9" ht="15">
      <c r="B170" s="581" t="s">
        <v>1811</v>
      </c>
      <c r="C170" s="581"/>
      <c r="D170" s="581"/>
      <c r="E170" s="581"/>
      <c r="F170" s="581"/>
      <c r="G170" s="581"/>
      <c r="H170" s="581"/>
      <c r="I170" s="581"/>
    </row>
    <row r="172" spans="1:9" ht="15">
      <c r="B172" s="429" t="s">
        <v>932</v>
      </c>
      <c r="C172" s="252" t="s">
        <v>933</v>
      </c>
    </row>
    <row r="173" spans="1:9">
      <c r="A173" s="304"/>
      <c r="B173" s="442" t="s">
        <v>1812</v>
      </c>
      <c r="C173" s="266">
        <v>19.95</v>
      </c>
    </row>
    <row r="174" spans="1:9">
      <c r="B174" s="304"/>
    </row>
    <row r="175" spans="1:9" ht="15">
      <c r="B175" s="423" t="s">
        <v>26</v>
      </c>
      <c r="C175" s="425" t="e">
        <f>B173*C173</f>
        <v>#VALUE!</v>
      </c>
    </row>
    <row r="177" spans="2:9" ht="15">
      <c r="H177" s="249" t="s">
        <v>909</v>
      </c>
      <c r="I177" s="250" t="str">
        <f>IFERROR(IF(AND(B173=12,ABS(C175-239.4)&lt;0.001),"✓ Correct","À revoir"),"À faire")</f>
        <v>À faire</v>
      </c>
    </row>
    <row r="179" spans="2:9" ht="15">
      <c r="B179" s="580" t="s">
        <v>1813</v>
      </c>
      <c r="C179" s="580"/>
      <c r="D179" s="580"/>
      <c r="E179" s="580"/>
      <c r="F179" s="580"/>
      <c r="G179" s="580"/>
      <c r="H179" s="246" t="s">
        <v>930</v>
      </c>
      <c r="I179" s="247" t="s">
        <v>902</v>
      </c>
    </row>
    <row r="181" spans="2:9" ht="15">
      <c r="B181" s="581" t="s">
        <v>1814</v>
      </c>
      <c r="C181" s="581"/>
      <c r="D181" s="581"/>
      <c r="E181" s="581"/>
      <c r="F181" s="581"/>
      <c r="G181" s="581"/>
      <c r="H181" s="581"/>
      <c r="I181" s="581"/>
    </row>
    <row r="183" spans="2:9" ht="15">
      <c r="B183" s="251" t="s">
        <v>1815</v>
      </c>
      <c r="C183" s="431" t="s">
        <v>1816</v>
      </c>
    </row>
    <row r="184" spans="2:9">
      <c r="B184" s="255" t="s">
        <v>1817</v>
      </c>
      <c r="C184" s="442" t="s">
        <v>1818</v>
      </c>
      <c r="D184" s="304"/>
    </row>
    <row r="185" spans="2:9">
      <c r="C185" s="304"/>
    </row>
    <row r="186" spans="2:9" ht="15">
      <c r="B186" s="423" t="s">
        <v>906</v>
      </c>
      <c r="C186" s="426" t="e">
        <f>MID(B184,2,C184)</f>
        <v>#VALUE!</v>
      </c>
    </row>
    <row r="188" spans="2:9" ht="15">
      <c r="H188" s="249" t="s">
        <v>909</v>
      </c>
      <c r="I188" s="250" t="str">
        <f>IFERROR(IF(AND(C184=3,C186="BCD"),"✓ Correct","À revoir"),"À faire")</f>
        <v>À faire</v>
      </c>
    </row>
    <row r="190" spans="2:9" ht="15">
      <c r="B190" s="582" t="s">
        <v>536</v>
      </c>
      <c r="C190" s="582"/>
      <c r="D190" s="582"/>
      <c r="E190" s="582"/>
      <c r="F190" s="582"/>
      <c r="G190" s="582"/>
      <c r="H190" s="582"/>
      <c r="I190" s="582"/>
    </row>
    <row r="192" spans="2:9" ht="15">
      <c r="B192" s="580" t="s">
        <v>1819</v>
      </c>
      <c r="C192" s="580"/>
      <c r="D192" s="580"/>
      <c r="E192" s="580"/>
      <c r="F192" s="580"/>
      <c r="G192" s="580"/>
      <c r="H192" s="246" t="s">
        <v>930</v>
      </c>
      <c r="I192" s="247" t="s">
        <v>902</v>
      </c>
    </row>
    <row r="194" spans="2:9" ht="15">
      <c r="B194" s="581" t="s">
        <v>1820</v>
      </c>
      <c r="C194" s="581"/>
      <c r="D194" s="581"/>
      <c r="E194" s="581"/>
      <c r="F194" s="581"/>
      <c r="G194" s="581"/>
      <c r="H194" s="581"/>
      <c r="I194" s="581"/>
    </row>
    <row r="196" spans="2:9" ht="30">
      <c r="B196" s="251" t="s">
        <v>24</v>
      </c>
      <c r="C196" s="258" t="s">
        <v>932</v>
      </c>
      <c r="D196" s="252" t="s">
        <v>933</v>
      </c>
    </row>
    <row r="197" spans="2:9">
      <c r="B197" s="255" t="s">
        <v>934</v>
      </c>
      <c r="C197" s="265">
        <v>6</v>
      </c>
      <c r="D197" s="266">
        <v>24.9</v>
      </c>
    </row>
    <row r="199" spans="2:9" ht="15">
      <c r="B199" s="423" t="s">
        <v>1821</v>
      </c>
      <c r="C199" s="589" t="s">
        <v>1822</v>
      </c>
      <c r="D199" s="590"/>
      <c r="E199" s="590"/>
      <c r="F199" s="591"/>
    </row>
    <row r="200" spans="2:9">
      <c r="C200" s="304"/>
      <c r="D200" s="304"/>
      <c r="E200" s="304"/>
      <c r="F200" s="304"/>
    </row>
    <row r="201" spans="2:9" ht="15">
      <c r="B201" s="423" t="s">
        <v>1823</v>
      </c>
      <c r="C201" s="583"/>
      <c r="D201" s="584"/>
      <c r="E201" s="584"/>
      <c r="F201" s="585"/>
      <c r="G201" s="304"/>
    </row>
    <row r="202" spans="2:9">
      <c r="C202" s="304"/>
      <c r="D202" s="304"/>
      <c r="E202" s="304"/>
      <c r="F202" s="304"/>
    </row>
    <row r="203" spans="2:9" ht="15">
      <c r="H203" s="249" t="s">
        <v>909</v>
      </c>
      <c r="I203" s="250" t="str">
        <f>IF(C201="","À faire",IFERROR(IF(ABS(C201-149.4)&lt;0.001,"✓ Correct","À revoir"),"À revoir"))</f>
        <v>À faire</v>
      </c>
    </row>
    <row r="205" spans="2:9" ht="15">
      <c r="B205" s="582" t="s">
        <v>540</v>
      </c>
      <c r="C205" s="582"/>
      <c r="D205" s="582"/>
      <c r="E205" s="582"/>
      <c r="F205" s="582"/>
      <c r="G205" s="582"/>
      <c r="H205" s="582"/>
      <c r="I205" s="582"/>
    </row>
    <row r="207" spans="2:9" ht="15">
      <c r="B207" s="580" t="s">
        <v>1824</v>
      </c>
      <c r="C207" s="580"/>
      <c r="D207" s="580"/>
      <c r="E207" s="580"/>
      <c r="F207" s="580"/>
      <c r="G207" s="580"/>
      <c r="H207" s="246" t="s">
        <v>930</v>
      </c>
      <c r="I207" s="247" t="s">
        <v>902</v>
      </c>
    </row>
    <row r="209" spans="2:9" ht="15">
      <c r="B209" s="581" t="s">
        <v>1825</v>
      </c>
      <c r="C209" s="581"/>
      <c r="D209" s="581"/>
      <c r="E209" s="581"/>
      <c r="F209" s="581"/>
      <c r="G209" s="581"/>
      <c r="H209" s="581"/>
      <c r="I209" s="581"/>
    </row>
    <row r="211" spans="2:9" ht="15">
      <c r="B211" s="251" t="s">
        <v>940</v>
      </c>
      <c r="C211" s="252" t="s">
        <v>1826</v>
      </c>
    </row>
    <row r="212" spans="2:9">
      <c r="B212" s="255">
        <v>12</v>
      </c>
      <c r="C212" s="254">
        <v>0</v>
      </c>
    </row>
    <row r="213" spans="2:9">
      <c r="C213" s="304"/>
      <c r="D213" s="304"/>
      <c r="E213" s="304"/>
      <c r="F213" s="304"/>
    </row>
    <row r="214" spans="2:9" ht="15">
      <c r="B214" s="423" t="s">
        <v>1827</v>
      </c>
      <c r="C214" s="583" t="e">
        <f>B212/C212</f>
        <v>#DIV/0!</v>
      </c>
      <c r="D214" s="584"/>
      <c r="E214" s="584"/>
      <c r="F214" s="585"/>
      <c r="G214" s="304"/>
    </row>
    <row r="215" spans="2:9">
      <c r="C215" s="304"/>
      <c r="D215" s="304"/>
      <c r="E215" s="304"/>
      <c r="F215" s="304"/>
    </row>
    <row r="216" spans="2:9" ht="15">
      <c r="H216" s="249" t="s">
        <v>909</v>
      </c>
      <c r="I216" s="250" t="str">
        <f>IFERROR(IF(C214="Non calculable","✓ Correct","À revoir"),"À faire")</f>
        <v>À faire</v>
      </c>
    </row>
    <row r="218" spans="2:9" ht="15">
      <c r="B218" s="582" t="s">
        <v>543</v>
      </c>
      <c r="C218" s="582"/>
      <c r="D218" s="582"/>
      <c r="E218" s="582"/>
      <c r="F218" s="582"/>
      <c r="G218" s="582"/>
      <c r="H218" s="582"/>
      <c r="I218" s="582"/>
    </row>
    <row r="220" spans="2:9" ht="15">
      <c r="B220" s="580" t="s">
        <v>1828</v>
      </c>
      <c r="C220" s="580"/>
      <c r="D220" s="580"/>
      <c r="E220" s="580"/>
      <c r="F220" s="580"/>
      <c r="G220" s="580"/>
      <c r="H220" s="246" t="s">
        <v>930</v>
      </c>
      <c r="I220" s="261" t="s">
        <v>1386</v>
      </c>
    </row>
    <row r="222" spans="2:9" ht="15">
      <c r="B222" s="581" t="s">
        <v>1829</v>
      </c>
      <c r="C222" s="581"/>
      <c r="D222" s="581"/>
      <c r="E222" s="581"/>
      <c r="F222" s="581"/>
      <c r="G222" s="581"/>
      <c r="H222" s="581"/>
      <c r="I222" s="581"/>
    </row>
    <row r="224" spans="2:9" ht="15">
      <c r="B224" s="267" t="s">
        <v>1587</v>
      </c>
      <c r="C224" s="267" t="s">
        <v>1830</v>
      </c>
      <c r="F224" s="598" t="s">
        <v>1831</v>
      </c>
      <c r="G224" s="599"/>
      <c r="H224" s="600" t="s">
        <v>1832</v>
      </c>
      <c r="I224" s="601"/>
    </row>
    <row r="225" spans="2:9">
      <c r="B225" s="255" t="s">
        <v>964</v>
      </c>
      <c r="C225" s="442"/>
      <c r="D225" s="304"/>
    </row>
    <row r="226" spans="2:9">
      <c r="B226" s="264" t="s">
        <v>1088</v>
      </c>
      <c r="C226" s="304"/>
    </row>
    <row r="227" spans="2:9">
      <c r="B227" s="255" t="s">
        <v>1089</v>
      </c>
      <c r="C227" s="445" t="s">
        <v>1833</v>
      </c>
    </row>
    <row r="228" spans="2:9">
      <c r="B228" s="264" t="s">
        <v>1500</v>
      </c>
    </row>
    <row r="230" spans="2:9" ht="15">
      <c r="H230" s="249" t="s">
        <v>909</v>
      </c>
      <c r="I230" s="250" t="str">
        <f>IF(C225="","À faire",IFERROR(IF(AND(_xlfn.ISFORMULA(C225),C225="Bernard",C226="Dupont",C227="Leroy",C228="Martin"),"✓ Correct","À revoir"),"À revoir"))</f>
        <v>À faire</v>
      </c>
    </row>
    <row r="232" spans="2:9" ht="15">
      <c r="B232" s="580" t="s">
        <v>1834</v>
      </c>
      <c r="C232" s="580"/>
      <c r="D232" s="580"/>
      <c r="E232" s="580"/>
      <c r="F232" s="580"/>
      <c r="G232" s="580"/>
      <c r="H232" s="246" t="s">
        <v>930</v>
      </c>
      <c r="I232" s="261" t="s">
        <v>1386</v>
      </c>
    </row>
    <row r="234" spans="2:9" ht="15">
      <c r="B234" s="581" t="s">
        <v>1835</v>
      </c>
      <c r="C234" s="581"/>
      <c r="D234" s="581"/>
      <c r="E234" s="581"/>
      <c r="F234" s="581"/>
      <c r="G234" s="581"/>
      <c r="H234" s="581"/>
      <c r="I234" s="581"/>
    </row>
    <row r="236" spans="2:9" ht="15">
      <c r="B236" s="267" t="s">
        <v>1836</v>
      </c>
      <c r="C236" s="267" t="s">
        <v>1830</v>
      </c>
      <c r="D236" s="304"/>
      <c r="F236" s="598" t="s">
        <v>1831</v>
      </c>
      <c r="G236" s="599"/>
      <c r="H236" s="600" t="s">
        <v>1837</v>
      </c>
      <c r="I236" s="601"/>
    </row>
    <row r="237" spans="2:9">
      <c r="B237" s="255" t="s">
        <v>935</v>
      </c>
      <c r="C237" s="442"/>
      <c r="D237" s="432"/>
    </row>
    <row r="238" spans="2:9">
      <c r="B238" s="264" t="s">
        <v>934</v>
      </c>
      <c r="C238" s="441"/>
      <c r="D238" s="432"/>
    </row>
    <row r="239" spans="2:9">
      <c r="B239" s="255" t="s">
        <v>1084</v>
      </c>
      <c r="C239" s="592"/>
      <c r="D239" s="593"/>
    </row>
    <row r="240" spans="2:9">
      <c r="B240" s="264" t="s">
        <v>936</v>
      </c>
      <c r="C240" s="432"/>
      <c r="D240" s="432"/>
    </row>
    <row r="242" spans="2:9" ht="15">
      <c r="H242" s="249" t="s">
        <v>909</v>
      </c>
      <c r="I242" s="250" t="str">
        <f>IF(C237="","À faire",IFERROR(IF(AND(_xlfn.ISFORMULA(C237),C237="Casque",C238="Clavier",C239="Écran",C240="Souris"),"✓ Correct","À revoir"),"À revoir"))</f>
        <v>À faire</v>
      </c>
    </row>
    <row r="243" spans="2:9" ht="15">
      <c r="H243" s="270"/>
      <c r="I243" s="271"/>
    </row>
    <row r="244" spans="2:9" ht="15">
      <c r="H244" s="270"/>
      <c r="I244" s="271"/>
    </row>
    <row r="247" spans="2:9" ht="15">
      <c r="B247" s="580" t="s">
        <v>1838</v>
      </c>
      <c r="C247" s="580"/>
      <c r="D247" s="580"/>
      <c r="E247" s="580"/>
      <c r="F247" s="580"/>
      <c r="G247" s="580"/>
      <c r="H247" s="246" t="s">
        <v>930</v>
      </c>
      <c r="I247" s="261" t="s">
        <v>1386</v>
      </c>
    </row>
    <row r="249" spans="2:9" ht="15">
      <c r="B249" s="581" t="s">
        <v>1839</v>
      </c>
      <c r="C249" s="581"/>
      <c r="D249" s="581"/>
      <c r="E249" s="581"/>
      <c r="F249" s="581"/>
      <c r="G249" s="581"/>
      <c r="H249" s="581"/>
      <c r="I249" s="581"/>
    </row>
    <row r="252" spans="2:9" ht="15">
      <c r="B252" s="251" t="s">
        <v>1087</v>
      </c>
      <c r="C252" s="431" t="s">
        <v>906</v>
      </c>
      <c r="E252" s="594" t="s">
        <v>1840</v>
      </c>
      <c r="F252" s="595"/>
      <c r="G252" s="596" t="s">
        <v>1831</v>
      </c>
      <c r="H252" s="597"/>
      <c r="I252" s="595"/>
    </row>
    <row r="253" spans="2:9" ht="15">
      <c r="B253" s="259" t="s">
        <v>964</v>
      </c>
      <c r="C253" s="443"/>
      <c r="D253" s="304"/>
      <c r="E253" s="442"/>
      <c r="F253" s="304"/>
      <c r="G253" s="589" t="s">
        <v>1841</v>
      </c>
      <c r="H253" s="590"/>
      <c r="I253" s="591"/>
    </row>
    <row r="254" spans="2:9">
      <c r="B254" s="259" t="s">
        <v>1088</v>
      </c>
      <c r="C254" s="262"/>
      <c r="D254" s="304"/>
      <c r="E254" s="442"/>
      <c r="F254" s="304"/>
    </row>
    <row r="255" spans="2:9">
      <c r="B255" s="259" t="s">
        <v>1089</v>
      </c>
      <c r="C255" s="262"/>
      <c r="D255" s="304"/>
      <c r="E255" s="442"/>
      <c r="F255" s="304"/>
    </row>
    <row r="256" spans="2:9">
      <c r="B256" s="260" t="s">
        <v>1500</v>
      </c>
      <c r="C256" s="263"/>
      <c r="D256" s="304"/>
      <c r="E256" s="442"/>
      <c r="F256" s="304"/>
    </row>
    <row r="257" spans="1:9">
      <c r="E257" s="304"/>
    </row>
    <row r="258" spans="1:9" ht="15">
      <c r="H258" s="249" t="s">
        <v>909</v>
      </c>
      <c r="I258" s="250" t="str">
        <f>IF(E253="","À faire",IFERROR(IF(AND(_xlfn.ISFORMULA(E253),E253="Bernard",E254="Dupont",E255="Leroy",E256="Martin"),"✓ Correct","À revoir"),"À revoir"))</f>
        <v>À faire</v>
      </c>
    </row>
    <row r="260" spans="1:9" ht="15">
      <c r="B260" s="582" t="s">
        <v>1842</v>
      </c>
      <c r="C260" s="582"/>
      <c r="D260" s="582"/>
      <c r="E260" s="582"/>
      <c r="F260" s="582"/>
      <c r="G260" s="582"/>
      <c r="H260" s="582"/>
      <c r="I260" s="582"/>
    </row>
    <row r="262" spans="1:9" ht="15">
      <c r="B262" s="580" t="s">
        <v>1843</v>
      </c>
      <c r="C262" s="580"/>
      <c r="D262" s="580"/>
      <c r="E262" s="580"/>
      <c r="F262" s="580"/>
      <c r="G262" s="580"/>
      <c r="H262" s="246" t="s">
        <v>930</v>
      </c>
      <c r="I262" s="247" t="s">
        <v>902</v>
      </c>
    </row>
    <row r="264" spans="1:9" ht="15">
      <c r="B264" s="581" t="s">
        <v>1844</v>
      </c>
      <c r="C264" s="581"/>
      <c r="D264" s="581"/>
      <c r="E264" s="581"/>
      <c r="F264" s="581"/>
      <c r="G264" s="581"/>
      <c r="H264" s="581"/>
      <c r="I264" s="581"/>
    </row>
    <row r="266" spans="1:9" ht="15">
      <c r="B266" s="429" t="s">
        <v>1845</v>
      </c>
      <c r="C266" s="252" t="s">
        <v>1846</v>
      </c>
    </row>
    <row r="267" spans="1:9">
      <c r="A267" s="304"/>
      <c r="B267" s="442">
        <v>-81</v>
      </c>
      <c r="C267" s="424" t="e">
        <f>SQRT(B267)</f>
        <v>#NUM!</v>
      </c>
    </row>
    <row r="268" spans="1:9">
      <c r="B268" s="304"/>
    </row>
    <row r="269" spans="1:9" ht="15">
      <c r="H269" s="249" t="s">
        <v>909</v>
      </c>
      <c r="I269" s="250" t="str">
        <f>IFERROR(IF(AND(B267=81,_xlfn.ISFORMULA(C267),C267=9),"✓ Correct","À revoir"),"À faire")</f>
        <v>À faire</v>
      </c>
    </row>
    <row r="271" spans="1:9" ht="15">
      <c r="B271" s="580" t="s">
        <v>1847</v>
      </c>
      <c r="C271" s="580"/>
      <c r="D271" s="580"/>
      <c r="E271" s="580"/>
      <c r="F271" s="580"/>
      <c r="G271" s="580"/>
      <c r="H271" s="246" t="s">
        <v>930</v>
      </c>
      <c r="I271" s="247" t="s">
        <v>902</v>
      </c>
    </row>
    <row r="273" spans="2:9" ht="15">
      <c r="B273" s="581" t="s">
        <v>1848</v>
      </c>
      <c r="C273" s="581"/>
      <c r="D273" s="581"/>
      <c r="E273" s="581"/>
      <c r="F273" s="581"/>
      <c r="G273" s="581"/>
      <c r="H273" s="581"/>
      <c r="I273" s="581"/>
    </row>
    <row r="275" spans="2:9" ht="15">
      <c r="B275" s="429" t="s">
        <v>1849</v>
      </c>
      <c r="C275" s="258"/>
      <c r="D275" s="431" t="s">
        <v>1850</v>
      </c>
    </row>
    <row r="276" spans="2:9">
      <c r="B276" s="264">
        <v>10</v>
      </c>
      <c r="D276" s="264">
        <v>40</v>
      </c>
    </row>
    <row r="277" spans="2:9">
      <c r="B277" s="264">
        <v>20</v>
      </c>
      <c r="D277" s="264">
        <v>50</v>
      </c>
    </row>
    <row r="278" spans="2:9">
      <c r="B278" s="264">
        <v>30</v>
      </c>
      <c r="D278" s="264">
        <v>60</v>
      </c>
    </row>
    <row r="279" spans="2:9">
      <c r="C279" s="304"/>
      <c r="D279" s="304"/>
      <c r="E279" s="304"/>
      <c r="F279" s="304"/>
    </row>
    <row r="280" spans="2:9" ht="15">
      <c r="B280" s="423" t="s">
        <v>1809</v>
      </c>
      <c r="C280" s="583" t="e">
        <f>SUM(B276:B278 D276:D278)</f>
        <v>#NULL!</v>
      </c>
      <c r="D280" s="584"/>
      <c r="E280" s="584"/>
      <c r="F280" s="585"/>
      <c r="G280" s="304"/>
    </row>
    <row r="281" spans="2:9">
      <c r="C281" s="304"/>
      <c r="D281" s="304"/>
      <c r="E281" s="304"/>
      <c r="F281" s="304"/>
    </row>
    <row r="282" spans="2:9" ht="15">
      <c r="H282" s="249" t="s">
        <v>909</v>
      </c>
      <c r="I282" s="250" t="str">
        <f>IFERROR(IF(AND(_xlfn.ISFORMULA(C280),C280=210),"✓ Correct","À revoir"),"À faire")</f>
        <v>À faire</v>
      </c>
    </row>
    <row r="284" spans="2:9" ht="15">
      <c r="B284" s="582" t="s">
        <v>1851</v>
      </c>
      <c r="C284" s="582"/>
      <c r="D284" s="582"/>
      <c r="E284" s="582"/>
      <c r="F284" s="582"/>
      <c r="G284" s="582"/>
      <c r="H284" s="582"/>
      <c r="I284" s="582"/>
    </row>
    <row r="286" spans="2:9" ht="15">
      <c r="B286" s="580" t="s">
        <v>1852</v>
      </c>
      <c r="C286" s="580"/>
      <c r="D286" s="580"/>
      <c r="E286" s="580"/>
      <c r="F286" s="580"/>
      <c r="G286" s="580"/>
      <c r="H286" s="246" t="s">
        <v>930</v>
      </c>
      <c r="I286" s="247" t="s">
        <v>902</v>
      </c>
    </row>
    <row r="288" spans="2:9" ht="15">
      <c r="B288" s="581" t="s">
        <v>1853</v>
      </c>
      <c r="C288" s="581"/>
      <c r="D288" s="581"/>
      <c r="E288" s="581"/>
      <c r="F288" s="581"/>
      <c r="G288" s="581"/>
      <c r="H288" s="581"/>
      <c r="I288" s="581"/>
    </row>
    <row r="290" spans="2:9" ht="15">
      <c r="B290" s="267" t="s">
        <v>26</v>
      </c>
    </row>
    <row r="291" spans="2:9">
      <c r="B291" s="269">
        <v>100</v>
      </c>
    </row>
    <row r="292" spans="2:9">
      <c r="B292" s="269">
        <v>250</v>
      </c>
    </row>
    <row r="293" spans="2:9">
      <c r="B293" s="446" t="s">
        <v>1854</v>
      </c>
    </row>
    <row r="294" spans="2:9">
      <c r="B294" s="269">
        <v>300</v>
      </c>
    </row>
    <row r="295" spans="2:9">
      <c r="B295" s="269">
        <v>400</v>
      </c>
    </row>
    <row r="297" spans="2:9" ht="15">
      <c r="B297" s="423" t="s">
        <v>1855</v>
      </c>
      <c r="C297" s="427">
        <f>SUM(B291:B295)</f>
        <v>1050</v>
      </c>
    </row>
    <row r="299" spans="2:9" ht="15">
      <c r="H299" s="249" t="s">
        <v>909</v>
      </c>
      <c r="I299" s="250" t="str">
        <f>IF(B293="450 €","À faire",IFERROR(IF(AND(ISNUMBER(B293),B293=450,_xlfn.ISFORMULA(C297),C297=1500),"✓ Correct","À revoir"),"À revoir"))</f>
        <v>À faire</v>
      </c>
    </row>
    <row r="301" spans="2:9" ht="15">
      <c r="B301" s="580" t="s">
        <v>1856</v>
      </c>
      <c r="C301" s="580"/>
      <c r="D301" s="580"/>
      <c r="E301" s="580"/>
      <c r="F301" s="580"/>
      <c r="G301" s="580"/>
      <c r="H301" s="246" t="s">
        <v>930</v>
      </c>
      <c r="I301" s="247" t="s">
        <v>902</v>
      </c>
    </row>
    <row r="303" spans="2:9" ht="15">
      <c r="B303" s="581" t="s">
        <v>1857</v>
      </c>
      <c r="C303" s="581"/>
      <c r="D303" s="581"/>
      <c r="E303" s="581"/>
      <c r="F303" s="581"/>
      <c r="G303" s="581"/>
      <c r="H303" s="581"/>
      <c r="I303" s="581"/>
    </row>
    <row r="305" spans="2:9" ht="15">
      <c r="B305" s="267" t="s">
        <v>1416</v>
      </c>
    </row>
    <row r="306" spans="2:9">
      <c r="B306" s="433">
        <v>46275</v>
      </c>
    </row>
    <row r="307" spans="2:9">
      <c r="B307" s="446" t="s">
        <v>1858</v>
      </c>
    </row>
    <row r="308" spans="2:9">
      <c r="B308" s="433">
        <v>46280</v>
      </c>
    </row>
    <row r="310" spans="2:9" ht="15">
      <c r="B310" s="423" t="s">
        <v>1859</v>
      </c>
      <c r="C310" s="428">
        <f>MIN(B306:B308)</f>
        <v>46275</v>
      </c>
    </row>
    <row r="312" spans="2:9" ht="15">
      <c r="H312" s="249" t="s">
        <v>909</v>
      </c>
      <c r="I312" s="250" t="str">
        <f>IF(B307="01/09/2026","À faire",IFERROR(IF(AND(ISNUMBER(B307),_xlfn.ISFORMULA(C310),C310=DATE(2026,9,1)),"✓ Correct","À revoir"),"À revoir"))</f>
        <v>À faire</v>
      </c>
    </row>
    <row r="314" spans="2:9" ht="15">
      <c r="B314" s="580" t="s">
        <v>1860</v>
      </c>
      <c r="C314" s="580"/>
      <c r="D314" s="580"/>
      <c r="E314" s="580"/>
      <c r="F314" s="580"/>
      <c r="G314" s="580"/>
      <c r="H314" s="246" t="s">
        <v>930</v>
      </c>
      <c r="I314" s="247" t="s">
        <v>902</v>
      </c>
    </row>
    <row r="316" spans="2:9" ht="15">
      <c r="B316" s="581" t="s">
        <v>1861</v>
      </c>
      <c r="C316" s="581"/>
      <c r="D316" s="581"/>
      <c r="E316" s="581"/>
      <c r="F316" s="581"/>
      <c r="G316" s="581"/>
      <c r="H316" s="581"/>
      <c r="I316" s="581"/>
    </row>
    <row r="318" spans="2:9" ht="15">
      <c r="B318" s="429" t="s">
        <v>1225</v>
      </c>
      <c r="C318" s="431" t="s">
        <v>24</v>
      </c>
    </row>
    <row r="319" spans="2:9" ht="30">
      <c r="B319" s="255" t="s">
        <v>1313</v>
      </c>
      <c r="C319" s="254" t="s">
        <v>934</v>
      </c>
      <c r="H319" s="423" t="s">
        <v>1368</v>
      </c>
      <c r="I319" s="426" t="s">
        <v>1316</v>
      </c>
    </row>
    <row r="320" spans="2:9">
      <c r="B320" s="447" t="s">
        <v>1862</v>
      </c>
      <c r="C320" s="254" t="s">
        <v>935</v>
      </c>
    </row>
    <row r="321" spans="2:9">
      <c r="B321" s="255" t="s">
        <v>1318</v>
      </c>
      <c r="C321" s="254" t="s">
        <v>1084</v>
      </c>
    </row>
    <row r="322" spans="2:9">
      <c r="B322" s="255" t="s">
        <v>1321</v>
      </c>
      <c r="C322" s="254" t="s">
        <v>936</v>
      </c>
    </row>
    <row r="323" spans="2:9">
      <c r="C323" s="304"/>
    </row>
    <row r="324" spans="2:9" ht="15">
      <c r="B324" s="423" t="s">
        <v>906</v>
      </c>
      <c r="C324" s="442" t="e">
        <f>VLOOKUP(I319,B319:C322,2,FALSE)</f>
        <v>#N/A</v>
      </c>
      <c r="D324" s="304"/>
    </row>
    <row r="325" spans="2:9">
      <c r="C325" s="304"/>
    </row>
    <row r="326" spans="2:9" ht="15">
      <c r="H326" s="249" t="s">
        <v>909</v>
      </c>
      <c r="I326" s="250" t="str">
        <f>IFERROR(IF(AND(_xlfn.ISFORMULA(C324),C324="Souris"),"✓ Correct","À revoir"),"À faire")</f>
        <v>À faire</v>
      </c>
    </row>
    <row r="328" spans="2:9" ht="15">
      <c r="B328" s="582" t="s">
        <v>1863</v>
      </c>
      <c r="C328" s="582"/>
      <c r="D328" s="582"/>
      <c r="E328" s="582"/>
      <c r="F328" s="582"/>
      <c r="G328" s="582"/>
      <c r="H328" s="582"/>
      <c r="I328" s="582"/>
    </row>
    <row r="330" spans="2:9" ht="15">
      <c r="B330" s="580" t="s">
        <v>1864</v>
      </c>
      <c r="C330" s="580"/>
      <c r="D330" s="580"/>
      <c r="E330" s="580"/>
      <c r="F330" s="580"/>
      <c r="G330" s="580"/>
      <c r="H330" s="246" t="s">
        <v>930</v>
      </c>
      <c r="I330" s="247" t="s">
        <v>902</v>
      </c>
    </row>
    <row r="332" spans="2:9" ht="15">
      <c r="B332" s="581" t="s">
        <v>1865</v>
      </c>
      <c r="C332" s="581"/>
      <c r="D332" s="581"/>
      <c r="E332" s="581"/>
      <c r="F332" s="581"/>
      <c r="G332" s="581"/>
      <c r="H332" s="581"/>
      <c r="I332" s="581"/>
    </row>
    <row r="334" spans="2:9" ht="15">
      <c r="B334" s="429" t="s">
        <v>26</v>
      </c>
      <c r="C334" s="431" t="s">
        <v>1866</v>
      </c>
      <c r="H334" s="438" t="s">
        <v>1118</v>
      </c>
      <c r="I334" s="427">
        <v>600</v>
      </c>
    </row>
    <row r="335" spans="2:9" ht="15">
      <c r="B335" s="268">
        <v>400</v>
      </c>
      <c r="C335" s="444">
        <f>IF(B335&gt;=I334,B335*I335,0)</f>
        <v>0</v>
      </c>
      <c r="D335" s="304"/>
      <c r="H335" s="438" t="s">
        <v>904</v>
      </c>
      <c r="I335" s="435">
        <v>0.1</v>
      </c>
    </row>
    <row r="336" spans="2:9">
      <c r="B336" s="268">
        <v>500</v>
      </c>
      <c r="C336" s="444">
        <f>IF(B336&gt;=I335,B336*I336,0)</f>
        <v>0</v>
      </c>
      <c r="D336" s="304"/>
    </row>
    <row r="337" spans="2:9">
      <c r="B337" s="268">
        <v>600</v>
      </c>
      <c r="C337" s="444">
        <f>IF(B337&gt;=I336,B337*I337,0)</f>
        <v>0</v>
      </c>
      <c r="D337" s="304"/>
    </row>
    <row r="338" spans="2:9">
      <c r="B338" s="268">
        <v>700</v>
      </c>
      <c r="C338" s="444">
        <f>IF(B338&gt;=I337,B338*I338,0)</f>
        <v>0</v>
      </c>
      <c r="D338" s="304"/>
    </row>
    <row r="339" spans="2:9">
      <c r="B339" s="268">
        <v>800</v>
      </c>
      <c r="C339" s="444">
        <f>IF(B339&gt;=I338,B339*I339,0)</f>
        <v>0</v>
      </c>
      <c r="D339" s="304"/>
    </row>
    <row r="340" spans="2:9">
      <c r="C340" s="304"/>
    </row>
    <row r="341" spans="2:9" ht="15">
      <c r="H341" s="249" t="s">
        <v>909</v>
      </c>
      <c r="I341" s="250" t="str">
        <f>IF(AND(C335=0,C336=0,C337=0,C338=0,C339=0),"À faire",IFERROR(IF(AND(_xlfn.ISFORMULA(C335),_xlfn.ISFORMULA(C336),_xlfn.ISFORMULA(C337),_xlfn.ISFORMULA(C338),_xlfn.ISFORMULA(C339),C335=0,C336=0,C337=60,C338=70,C339=80),"✓ Correct","À revoir"),"À revoir"))</f>
        <v>À faire</v>
      </c>
    </row>
    <row r="343" spans="2:9" ht="15">
      <c r="B343" s="580" t="s">
        <v>1867</v>
      </c>
      <c r="C343" s="580"/>
      <c r="D343" s="580"/>
      <c r="E343" s="580"/>
      <c r="F343" s="580"/>
      <c r="G343" s="580"/>
      <c r="H343" s="246" t="s">
        <v>930</v>
      </c>
      <c r="I343" s="247" t="s">
        <v>902</v>
      </c>
    </row>
    <row r="345" spans="2:9" ht="15">
      <c r="B345" s="581" t="s">
        <v>1868</v>
      </c>
      <c r="C345" s="581"/>
      <c r="D345" s="581"/>
      <c r="E345" s="581"/>
      <c r="F345" s="581"/>
      <c r="G345" s="581"/>
      <c r="H345" s="581"/>
      <c r="I345" s="581"/>
    </row>
    <row r="347" spans="2:9" ht="15">
      <c r="B347" s="429" t="s">
        <v>932</v>
      </c>
      <c r="C347" s="431" t="s">
        <v>933</v>
      </c>
    </row>
    <row r="348" spans="2:9">
      <c r="B348" s="255">
        <v>2</v>
      </c>
      <c r="C348" s="434">
        <v>10</v>
      </c>
    </row>
    <row r="349" spans="2:9">
      <c r="B349" s="255">
        <v>3</v>
      </c>
      <c r="C349" s="434">
        <v>20</v>
      </c>
    </row>
    <row r="350" spans="2:9">
      <c r="B350" s="255">
        <v>5</v>
      </c>
      <c r="C350" s="434">
        <v>15</v>
      </c>
    </row>
    <row r="351" spans="2:9">
      <c r="B351" s="255">
        <v>4</v>
      </c>
      <c r="C351" s="434">
        <v>12</v>
      </c>
    </row>
    <row r="352" spans="2:9">
      <c r="B352" s="255">
        <v>1</v>
      </c>
      <c r="C352" s="434">
        <v>30</v>
      </c>
    </row>
    <row r="353" spans="2:9">
      <c r="C353" s="304"/>
      <c r="D353" s="304"/>
      <c r="E353" s="304"/>
      <c r="F353" s="304"/>
    </row>
    <row r="354" spans="2:9" ht="15">
      <c r="B354" s="423" t="s">
        <v>1809</v>
      </c>
      <c r="C354" s="583" t="e">
        <f>SUMPRODUCT(B348:B352,C348:C351)</f>
        <v>#VALUE!</v>
      </c>
      <c r="D354" s="584"/>
      <c r="E354" s="584"/>
      <c r="F354" s="585"/>
      <c r="G354" s="304"/>
    </row>
    <row r="355" spans="2:9">
      <c r="C355" s="304"/>
      <c r="D355" s="304"/>
      <c r="E355" s="304"/>
      <c r="F355" s="304"/>
    </row>
    <row r="356" spans="2:9" ht="15">
      <c r="H356" s="249" t="s">
        <v>909</v>
      </c>
      <c r="I356" s="250" t="str">
        <f>IFERROR(IF(AND(_xlfn.ISFORMULA(C354),C354=233),"✓ Correct","À revoir"),"À faire")</f>
        <v>À faire</v>
      </c>
    </row>
    <row r="358" spans="2:9" ht="15">
      <c r="B358" s="580" t="s">
        <v>1869</v>
      </c>
      <c r="C358" s="580"/>
      <c r="D358" s="580"/>
      <c r="E358" s="580"/>
      <c r="F358" s="580"/>
      <c r="G358" s="580"/>
      <c r="H358" s="246" t="s">
        <v>930</v>
      </c>
      <c r="I358" s="247" t="s">
        <v>902</v>
      </c>
    </row>
    <row r="360" spans="2:9" ht="15">
      <c r="B360" s="581" t="s">
        <v>1870</v>
      </c>
      <c r="C360" s="581"/>
      <c r="D360" s="581"/>
      <c r="E360" s="581"/>
      <c r="F360" s="581"/>
      <c r="G360" s="581"/>
      <c r="H360" s="581"/>
      <c r="I360" s="581"/>
    </row>
    <row r="362" spans="2:9" ht="15">
      <c r="B362" s="251" t="s">
        <v>1871</v>
      </c>
      <c r="C362" s="252" t="s">
        <v>1347</v>
      </c>
    </row>
    <row r="363" spans="2:9">
      <c r="B363" s="268">
        <v>500</v>
      </c>
      <c r="C363" s="257">
        <v>0.1</v>
      </c>
    </row>
    <row r="364" spans="2:9">
      <c r="C364" s="304"/>
      <c r="D364" s="304"/>
      <c r="E364" s="304"/>
      <c r="F364" s="304"/>
    </row>
    <row r="365" spans="2:9" ht="15">
      <c r="B365" s="423" t="s">
        <v>1809</v>
      </c>
      <c r="C365" s="586">
        <f>B363*(1+C363)</f>
        <v>550</v>
      </c>
      <c r="D365" s="587"/>
      <c r="E365" s="587"/>
      <c r="F365" s="588"/>
      <c r="G365" s="304"/>
    </row>
    <row r="366" spans="2:9">
      <c r="C366" s="304"/>
      <c r="D366" s="304"/>
      <c r="E366" s="304"/>
      <c r="F366" s="304"/>
    </row>
    <row r="367" spans="2:9" ht="15">
      <c r="H367" s="249" t="s">
        <v>909</v>
      </c>
      <c r="I367" s="250" t="str">
        <f>IF(C365=550,"À faire",IFERROR(IF(AND(_xlfn.ISFORMULA(C365),C365=450),"✓ Correct","À revoir"),"À revoir"))</f>
        <v>À faire</v>
      </c>
    </row>
    <row r="369" spans="2:9" ht="15">
      <c r="B369" s="582" t="s">
        <v>1872</v>
      </c>
      <c r="C369" s="582"/>
      <c r="D369" s="582"/>
      <c r="E369" s="582"/>
      <c r="F369" s="582"/>
      <c r="G369" s="582"/>
      <c r="H369" s="582"/>
      <c r="I369" s="582"/>
    </row>
    <row r="371" spans="2:9" ht="15">
      <c r="B371" s="580" t="s">
        <v>1873</v>
      </c>
      <c r="C371" s="580"/>
      <c r="D371" s="580"/>
      <c r="E371" s="580"/>
      <c r="F371" s="580"/>
      <c r="G371" s="580"/>
      <c r="H371" s="246" t="s">
        <v>930</v>
      </c>
      <c r="I371" s="247" t="s">
        <v>902</v>
      </c>
    </row>
    <row r="373" spans="2:9" ht="15">
      <c r="B373" s="581" t="s">
        <v>1874</v>
      </c>
      <c r="C373" s="581"/>
      <c r="D373" s="581"/>
      <c r="E373" s="581"/>
      <c r="F373" s="581"/>
      <c r="G373" s="581"/>
      <c r="H373" s="581"/>
      <c r="I373" s="581"/>
    </row>
    <row r="375" spans="2:9" ht="15">
      <c r="B375" s="267" t="s">
        <v>57</v>
      </c>
    </row>
    <row r="376" spans="2:9">
      <c r="B376" s="264">
        <v>12.4</v>
      </c>
    </row>
    <row r="377" spans="2:9">
      <c r="B377" s="264">
        <v>15.8</v>
      </c>
    </row>
    <row r="378" spans="2:9">
      <c r="B378" s="264">
        <v>14.1</v>
      </c>
    </row>
    <row r="379" spans="2:9">
      <c r="B379" s="264">
        <v>16.2</v>
      </c>
    </row>
    <row r="380" spans="2:9">
      <c r="B380" s="264">
        <v>13.7</v>
      </c>
    </row>
    <row r="382" spans="2:9" ht="15">
      <c r="B382" s="423" t="s">
        <v>1875</v>
      </c>
      <c r="C382" s="589">
        <f>ROUND(AVERAGE(B376:B380),1)</f>
        <v>14.4</v>
      </c>
      <c r="D382" s="590"/>
      <c r="E382" s="590"/>
      <c r="F382" s="591"/>
    </row>
    <row r="383" spans="2:9">
      <c r="C383" s="304"/>
    </row>
    <row r="384" spans="2:9" ht="15">
      <c r="B384" s="439" t="s">
        <v>1876</v>
      </c>
      <c r="C384" s="442"/>
      <c r="D384" s="304"/>
    </row>
    <row r="385" spans="2:9" ht="15">
      <c r="B385" s="439" t="s">
        <v>1877</v>
      </c>
      <c r="C385" s="442"/>
      <c r="D385" s="304"/>
    </row>
    <row r="386" spans="2:9">
      <c r="C386" s="304"/>
    </row>
    <row r="387" spans="2:9" ht="15">
      <c r="H387" s="249" t="s">
        <v>909</v>
      </c>
      <c r="I387" s="250" t="str">
        <f>IF(COUNTA(C384:C385)&lt;2,"À faire",IF(AND(ABS(C384-14.44)&lt;0.001,ABS(C385-14.4)&lt;0.001),"✓ Correct","À revoir"))</f>
        <v>À faire</v>
      </c>
    </row>
    <row r="389" spans="2:9" ht="15">
      <c r="B389" s="580" t="s">
        <v>1878</v>
      </c>
      <c r="C389" s="580"/>
      <c r="D389" s="580"/>
      <c r="E389" s="580"/>
      <c r="F389" s="580"/>
      <c r="G389" s="580"/>
      <c r="H389" s="246" t="s">
        <v>930</v>
      </c>
      <c r="I389" s="247" t="s">
        <v>902</v>
      </c>
    </row>
    <row r="391" spans="2:9" ht="15">
      <c r="B391" s="581" t="s">
        <v>1879</v>
      </c>
      <c r="C391" s="581"/>
      <c r="D391" s="581"/>
      <c r="E391" s="581"/>
      <c r="F391" s="581"/>
      <c r="G391" s="581"/>
      <c r="H391" s="581"/>
      <c r="I391" s="581"/>
    </row>
    <row r="393" spans="2:9" ht="15">
      <c r="B393" s="251" t="s">
        <v>1880</v>
      </c>
      <c r="C393" s="258" t="s">
        <v>1881</v>
      </c>
      <c r="D393" s="252" t="s">
        <v>1882</v>
      </c>
      <c r="H393" s="251" t="s">
        <v>904</v>
      </c>
      <c r="I393" s="435">
        <v>0.2</v>
      </c>
    </row>
    <row r="394" spans="2:9">
      <c r="B394" s="255">
        <v>120</v>
      </c>
      <c r="C394" s="265">
        <v>80</v>
      </c>
      <c r="D394" s="254">
        <v>50</v>
      </c>
    </row>
    <row r="396" spans="2:9" ht="15">
      <c r="B396" s="423" t="s">
        <v>1883</v>
      </c>
      <c r="C396" s="426">
        <f>SUM(B394:D394)*I393</f>
        <v>50</v>
      </c>
    </row>
    <row r="397" spans="2:9">
      <c r="C397" s="304"/>
    </row>
    <row r="398" spans="2:9" ht="15">
      <c r="B398" s="439" t="s">
        <v>1884</v>
      </c>
      <c r="C398" s="442"/>
      <c r="D398" s="304"/>
    </row>
    <row r="399" spans="2:9" ht="15">
      <c r="B399" s="439" t="s">
        <v>1885</v>
      </c>
      <c r="C399" s="442"/>
      <c r="D399" s="304"/>
    </row>
    <row r="400" spans="2:9">
      <c r="C400" s="304"/>
    </row>
    <row r="401" spans="2:9" ht="15">
      <c r="H401" s="249" t="s">
        <v>909</v>
      </c>
      <c r="I401" s="250" t="str">
        <f>IF(COUNTA(C398:C399)&lt;2,"À faire",IF(AND(C398=4,OR(UPPER(C399)="I154",UPPER(C399)="$I$154")),"✓ Correct","À revoir"))</f>
        <v>À faire</v>
      </c>
    </row>
    <row r="403" spans="2:9" ht="15">
      <c r="B403" s="580" t="s">
        <v>1886</v>
      </c>
      <c r="C403" s="580"/>
      <c r="D403" s="580"/>
      <c r="E403" s="580"/>
      <c r="F403" s="580"/>
      <c r="G403" s="580"/>
      <c r="H403" s="246" t="s">
        <v>930</v>
      </c>
      <c r="I403" s="247" t="s">
        <v>902</v>
      </c>
    </row>
    <row r="405" spans="2:9" ht="15">
      <c r="B405" s="581" t="s">
        <v>1887</v>
      </c>
      <c r="C405" s="581"/>
      <c r="D405" s="581"/>
      <c r="E405" s="581"/>
      <c r="F405" s="581"/>
      <c r="G405" s="581"/>
      <c r="H405" s="581"/>
      <c r="I405" s="581"/>
    </row>
    <row r="407" spans="2:9" ht="15">
      <c r="H407" s="251" t="s">
        <v>1740</v>
      </c>
      <c r="I407" s="435">
        <v>0.2</v>
      </c>
    </row>
    <row r="408" spans="2:9">
      <c r="C408" s="304"/>
    </row>
    <row r="409" spans="2:9" ht="15">
      <c r="B409" s="440" t="s">
        <v>1888</v>
      </c>
      <c r="C409" s="255">
        <v>100</v>
      </c>
      <c r="D409" s="426">
        <f>C409*(1+I407)</f>
        <v>120</v>
      </c>
    </row>
    <row r="410" spans="2:9" ht="15">
      <c r="B410" s="440" t="s">
        <v>1889</v>
      </c>
      <c r="C410" s="255">
        <v>250</v>
      </c>
      <c r="D410" s="426">
        <f>C410*(1+I407)</f>
        <v>300</v>
      </c>
    </row>
    <row r="411" spans="2:9" ht="15">
      <c r="B411" s="440" t="s">
        <v>1890</v>
      </c>
      <c r="C411" s="255">
        <v>80</v>
      </c>
      <c r="D411" s="426">
        <f>C411*(1+I407)</f>
        <v>96</v>
      </c>
    </row>
    <row r="412" spans="2:9" ht="15">
      <c r="B412" s="440" t="s">
        <v>1891</v>
      </c>
      <c r="C412" s="255">
        <v>60</v>
      </c>
      <c r="D412" s="426">
        <f>C412*2</f>
        <v>120</v>
      </c>
    </row>
    <row r="413" spans="2:9">
      <c r="C413" s="304"/>
    </row>
    <row r="414" spans="2:9" ht="15">
      <c r="B414" s="423" t="s">
        <v>1892</v>
      </c>
      <c r="C414" s="442"/>
      <c r="D414" s="304"/>
    </row>
    <row r="415" spans="2:9">
      <c r="C415" s="304"/>
    </row>
    <row r="416" spans="2:9" ht="15">
      <c r="H416" s="249" t="s">
        <v>909</v>
      </c>
      <c r="I416" s="250" t="str">
        <f>IF(C414="","À faire",IF(C414=3,"✓ Correct","À revoir"))</f>
        <v>À faire</v>
      </c>
    </row>
    <row r="418" spans="2:9" ht="15">
      <c r="B418" s="582" t="s">
        <v>1893</v>
      </c>
      <c r="C418" s="582"/>
      <c r="D418" s="582"/>
      <c r="E418" s="582"/>
      <c r="F418" s="582"/>
      <c r="G418" s="582"/>
      <c r="H418" s="582"/>
      <c r="I418" s="582"/>
    </row>
    <row r="420" spans="2:9" ht="15">
      <c r="B420" s="580" t="s">
        <v>1894</v>
      </c>
      <c r="C420" s="580"/>
      <c r="D420" s="580"/>
      <c r="E420" s="580"/>
      <c r="F420" s="580"/>
      <c r="G420" s="580"/>
      <c r="H420" s="246" t="s">
        <v>947</v>
      </c>
      <c r="I420" s="247" t="s">
        <v>902</v>
      </c>
    </row>
    <row r="422" spans="2:9" ht="15">
      <c r="B422" s="581" t="s">
        <v>1895</v>
      </c>
      <c r="C422" s="581"/>
      <c r="D422" s="581"/>
      <c r="E422" s="581"/>
      <c r="F422" s="581"/>
      <c r="G422" s="581"/>
      <c r="H422" s="581"/>
      <c r="I422" s="581"/>
    </row>
    <row r="424" spans="2:9" ht="15">
      <c r="B424" s="429" t="s">
        <v>1225</v>
      </c>
      <c r="C424" s="430" t="s">
        <v>24</v>
      </c>
      <c r="D424" s="431" t="s">
        <v>1441</v>
      </c>
    </row>
    <row r="425" spans="2:9" ht="30">
      <c r="B425" s="255" t="s">
        <v>1313</v>
      </c>
      <c r="C425" s="265" t="s">
        <v>934</v>
      </c>
      <c r="D425" s="266">
        <v>24.9</v>
      </c>
      <c r="H425" s="423" t="s">
        <v>1368</v>
      </c>
      <c r="I425" s="426" t="s">
        <v>1321</v>
      </c>
    </row>
    <row r="426" spans="2:9">
      <c r="B426" s="255" t="s">
        <v>1316</v>
      </c>
      <c r="C426" s="265" t="s">
        <v>935</v>
      </c>
      <c r="D426" s="266">
        <v>19.899999999999999</v>
      </c>
    </row>
    <row r="427" spans="2:9">
      <c r="B427" s="255" t="s">
        <v>1318</v>
      </c>
      <c r="C427" s="265" t="s">
        <v>1084</v>
      </c>
      <c r="D427" s="266">
        <v>39.9</v>
      </c>
    </row>
    <row r="428" spans="2:9">
      <c r="B428" s="255" t="s">
        <v>1321</v>
      </c>
      <c r="C428" s="265" t="s">
        <v>1717</v>
      </c>
      <c r="D428" s="266">
        <v>34.549999999999997</v>
      </c>
    </row>
    <row r="429" spans="2:9">
      <c r="C429" s="304"/>
      <c r="D429" s="304"/>
      <c r="E429" s="304"/>
      <c r="F429" s="304"/>
    </row>
    <row r="430" spans="2:9" ht="15">
      <c r="B430" s="423" t="s">
        <v>1809</v>
      </c>
      <c r="C430" s="583" t="e">
        <f>VLOOKUP(I425,B425:D428,4,FALSE)</f>
        <v>#REF!</v>
      </c>
      <c r="D430" s="584"/>
      <c r="E430" s="584"/>
      <c r="F430" s="585"/>
      <c r="G430" s="304"/>
    </row>
    <row r="431" spans="2:9">
      <c r="C431" s="304"/>
      <c r="D431" s="304"/>
      <c r="E431" s="304"/>
      <c r="F431" s="304"/>
    </row>
    <row r="432" spans="2:9" ht="15">
      <c r="H432" s="249" t="s">
        <v>909</v>
      </c>
      <c r="I432" s="250" t="str">
        <f>IFERROR(IF(AND(_xlfn.ISFORMULA(C430),ABS(C430-34.55)&lt;0.001),"✓ Correct","À revoir"),"À faire")</f>
        <v>À faire</v>
      </c>
    </row>
    <row r="434" spans="2:9" ht="15">
      <c r="B434" s="580" t="s">
        <v>1896</v>
      </c>
      <c r="C434" s="580"/>
      <c r="D434" s="580"/>
      <c r="E434" s="580"/>
      <c r="F434" s="580"/>
      <c r="G434" s="580"/>
      <c r="H434" s="246" t="s">
        <v>947</v>
      </c>
      <c r="I434" s="247" t="s">
        <v>902</v>
      </c>
    </row>
    <row r="436" spans="2:9" ht="15">
      <c r="B436" s="581" t="s">
        <v>1897</v>
      </c>
      <c r="C436" s="581"/>
      <c r="D436" s="581"/>
      <c r="E436" s="581"/>
      <c r="F436" s="581"/>
      <c r="G436" s="581"/>
      <c r="H436" s="581"/>
      <c r="I436" s="581"/>
    </row>
    <row r="438" spans="2:9" ht="15">
      <c r="B438" s="251" t="s">
        <v>26</v>
      </c>
      <c r="C438" s="431" t="s">
        <v>1866</v>
      </c>
      <c r="H438" s="438" t="s">
        <v>1118</v>
      </c>
      <c r="I438" s="427">
        <v>500</v>
      </c>
    </row>
    <row r="439" spans="2:9" ht="15">
      <c r="B439" s="268">
        <v>500</v>
      </c>
      <c r="C439" s="442">
        <f>IF(B439&gt;I438,B439*I439,0)</f>
        <v>0</v>
      </c>
      <c r="D439" s="304"/>
      <c r="H439" s="438" t="s">
        <v>904</v>
      </c>
      <c r="I439" s="435">
        <v>0.1</v>
      </c>
    </row>
    <row r="440" spans="2:9">
      <c r="C440" s="304"/>
    </row>
    <row r="443" spans="2:9" ht="15">
      <c r="H443" s="249" t="s">
        <v>909</v>
      </c>
      <c r="I443" s="250" t="str">
        <f>IF(C439=0,"À faire",IFERROR(IF(AND(_xlfn.ISFORMULA(C439),C439=50),"✓ Correct","À revoir"),"À revoir"))</f>
        <v>À faire</v>
      </c>
    </row>
    <row r="445" spans="2:9" ht="15">
      <c r="B445" s="580" t="s">
        <v>1898</v>
      </c>
      <c r="C445" s="580"/>
      <c r="D445" s="580"/>
      <c r="E445" s="580"/>
      <c r="F445" s="580"/>
      <c r="G445" s="580"/>
      <c r="H445" s="246" t="s">
        <v>947</v>
      </c>
      <c r="I445" s="247" t="s">
        <v>902</v>
      </c>
    </row>
    <row r="447" spans="2:9" ht="15">
      <c r="B447" s="581" t="s">
        <v>1899</v>
      </c>
      <c r="C447" s="581"/>
      <c r="D447" s="581"/>
      <c r="E447" s="581"/>
      <c r="F447" s="581"/>
      <c r="G447" s="581"/>
      <c r="H447" s="581"/>
      <c r="I447" s="581"/>
    </row>
    <row r="449" spans="2:9" ht="15">
      <c r="B449" s="429" t="s">
        <v>1900</v>
      </c>
      <c r="C449" s="430" t="s">
        <v>1901</v>
      </c>
      <c r="D449" s="430" t="s">
        <v>1902</v>
      </c>
      <c r="E449" s="430" t="s">
        <v>1903</v>
      </c>
      <c r="F449" s="430" t="s">
        <v>1904</v>
      </c>
      <c r="G449" s="431" t="s">
        <v>1809</v>
      </c>
    </row>
    <row r="450" spans="2:9">
      <c r="B450" s="255" t="s">
        <v>27</v>
      </c>
      <c r="C450" s="265">
        <v>80</v>
      </c>
      <c r="D450" s="265"/>
      <c r="E450" s="265"/>
      <c r="F450" s="265" t="s">
        <v>1905</v>
      </c>
      <c r="G450" s="442" t="e">
        <f>IF(C450&gt;=100,"OK",A_revoir)</f>
        <v>#NAME?</v>
      </c>
      <c r="H450" s="304"/>
    </row>
    <row r="451" spans="2:9">
      <c r="B451" s="255" t="s">
        <v>28</v>
      </c>
      <c r="C451" s="265">
        <v>12</v>
      </c>
      <c r="D451" s="265">
        <v>0</v>
      </c>
      <c r="E451" s="265" t="s">
        <v>940</v>
      </c>
      <c r="F451" s="265" t="s">
        <v>1826</v>
      </c>
      <c r="G451" s="442" t="e">
        <f>C451/D451</f>
        <v>#DIV/0!</v>
      </c>
      <c r="H451" s="304"/>
    </row>
    <row r="452" spans="2:9">
      <c r="B452" s="255" t="s">
        <v>29</v>
      </c>
      <c r="C452" s="265">
        <v>10</v>
      </c>
      <c r="D452" s="265">
        <v>20</v>
      </c>
      <c r="E452" s="265">
        <v>30</v>
      </c>
      <c r="F452" s="265">
        <v>40</v>
      </c>
      <c r="G452" s="442">
        <f>SUM(C452:E452)</f>
        <v>60</v>
      </c>
      <c r="H452" s="304"/>
    </row>
    <row r="453" spans="2:9">
      <c r="G453" s="304"/>
    </row>
    <row r="454" spans="2:9" ht="15">
      <c r="H454" s="249" t="s">
        <v>909</v>
      </c>
      <c r="I454" s="250" t="str">
        <f>IFERROR(IF(AND(_xlfn.ISFORMULA(G450),_xlfn.ISFORMULA(G451),_xlfn.ISFORMULA(G452),G450="à revoir",G451="Non calculable",G452=100),"✓ Correct","À revoir"),"À faire")</f>
        <v>À faire</v>
      </c>
    </row>
  </sheetData>
  <sheetProtection formatCells="0" formatRows="0" autoFilter="0"/>
  <mergeCells count="105">
    <mergeCell ref="B62:G62"/>
    <mergeCell ref="B28:I28"/>
    <mergeCell ref="B30:I30"/>
    <mergeCell ref="B32:G32"/>
    <mergeCell ref="B34:I34"/>
    <mergeCell ref="C43:F43"/>
    <mergeCell ref="C44:F44"/>
    <mergeCell ref="C45:F45"/>
    <mergeCell ref="B49:G49"/>
    <mergeCell ref="B51:I51"/>
    <mergeCell ref="C56:F56"/>
    <mergeCell ref="B60:I60"/>
    <mergeCell ref="B105:I105"/>
    <mergeCell ref="B64:I64"/>
    <mergeCell ref="C73:F73"/>
    <mergeCell ref="C75:F75"/>
    <mergeCell ref="B79:G79"/>
    <mergeCell ref="B81:I81"/>
    <mergeCell ref="C86:F86"/>
    <mergeCell ref="C88:F88"/>
    <mergeCell ref="B92:G92"/>
    <mergeCell ref="B94:I94"/>
    <mergeCell ref="C99:G99"/>
    <mergeCell ref="C101:G101"/>
    <mergeCell ref="B153:G153"/>
    <mergeCell ref="B107:G107"/>
    <mergeCell ref="B109:I109"/>
    <mergeCell ref="C117:F117"/>
    <mergeCell ref="C119:F119"/>
    <mergeCell ref="B123:G123"/>
    <mergeCell ref="B125:I125"/>
    <mergeCell ref="C131:G131"/>
    <mergeCell ref="C133:G133"/>
    <mergeCell ref="B137:I137"/>
    <mergeCell ref="B139:G139"/>
    <mergeCell ref="B141:I141"/>
    <mergeCell ref="C201:F201"/>
    <mergeCell ref="B155:I155"/>
    <mergeCell ref="C162:F162"/>
    <mergeCell ref="B166:I166"/>
    <mergeCell ref="B168:G168"/>
    <mergeCell ref="B170:I170"/>
    <mergeCell ref="B179:G179"/>
    <mergeCell ref="B181:I181"/>
    <mergeCell ref="B190:I190"/>
    <mergeCell ref="B192:G192"/>
    <mergeCell ref="B194:I194"/>
    <mergeCell ref="C199:F199"/>
    <mergeCell ref="F236:G236"/>
    <mergeCell ref="H236:I236"/>
    <mergeCell ref="B205:I205"/>
    <mergeCell ref="B207:G207"/>
    <mergeCell ref="B209:I209"/>
    <mergeCell ref="C214:F214"/>
    <mergeCell ref="B218:I218"/>
    <mergeCell ref="B220:G220"/>
    <mergeCell ref="B222:I222"/>
    <mergeCell ref="F224:G224"/>
    <mergeCell ref="H224:I224"/>
    <mergeCell ref="B232:G232"/>
    <mergeCell ref="B234:I234"/>
    <mergeCell ref="C280:F280"/>
    <mergeCell ref="C239:D239"/>
    <mergeCell ref="B247:G247"/>
    <mergeCell ref="B249:I249"/>
    <mergeCell ref="E252:F252"/>
    <mergeCell ref="G252:I252"/>
    <mergeCell ref="G253:I253"/>
    <mergeCell ref="B260:I260"/>
    <mergeCell ref="B262:G262"/>
    <mergeCell ref="B264:I264"/>
    <mergeCell ref="B271:G271"/>
    <mergeCell ref="B273:I273"/>
    <mergeCell ref="B391:I391"/>
    <mergeCell ref="B403:G403"/>
    <mergeCell ref="B345:I345"/>
    <mergeCell ref="B284:I284"/>
    <mergeCell ref="B286:G286"/>
    <mergeCell ref="B288:I288"/>
    <mergeCell ref="B301:G301"/>
    <mergeCell ref="B303:I303"/>
    <mergeCell ref="B314:G314"/>
    <mergeCell ref="B316:I316"/>
    <mergeCell ref="B328:I328"/>
    <mergeCell ref="B330:G330"/>
    <mergeCell ref="B332:I332"/>
    <mergeCell ref="B343:G343"/>
    <mergeCell ref="C354:F354"/>
    <mergeCell ref="B358:G358"/>
    <mergeCell ref="B360:I360"/>
    <mergeCell ref="C365:F365"/>
    <mergeCell ref="B369:I369"/>
    <mergeCell ref="B371:G371"/>
    <mergeCell ref="B373:I373"/>
    <mergeCell ref="C382:F382"/>
    <mergeCell ref="B389:G389"/>
    <mergeCell ref="B445:G445"/>
    <mergeCell ref="B447:I447"/>
    <mergeCell ref="B418:I418"/>
    <mergeCell ref="B420:G420"/>
    <mergeCell ref="B422:I422"/>
    <mergeCell ref="C430:F430"/>
    <mergeCell ref="B434:G434"/>
    <mergeCell ref="B436:I436"/>
    <mergeCell ref="B405:I405"/>
  </mergeCells>
  <conditionalFormatting sqref="I47">
    <cfRule type="expression" dxfId="119" priority="47">
      <formula>I47="À revoir"</formula>
    </cfRule>
    <cfRule type="expression" dxfId="118" priority="46">
      <formula>I47="✓ Correct"</formula>
    </cfRule>
    <cfRule type="expression" dxfId="117" priority="48">
      <formula>I47="À faire"</formula>
    </cfRule>
  </conditionalFormatting>
  <conditionalFormatting sqref="I58">
    <cfRule type="expression" dxfId="116" priority="51">
      <formula>I58="À faire"</formula>
    </cfRule>
    <cfRule type="expression" dxfId="115" priority="50">
      <formula>I58="À revoir"</formula>
    </cfRule>
    <cfRule type="expression" dxfId="114" priority="49">
      <formula>I58="✓ Correct"</formula>
    </cfRule>
  </conditionalFormatting>
  <conditionalFormatting sqref="I77">
    <cfRule type="expression" dxfId="113" priority="54">
      <formula>I77="À faire"</formula>
    </cfRule>
    <cfRule type="expression" dxfId="112" priority="53">
      <formula>I77="À revoir"</formula>
    </cfRule>
    <cfRule type="expression" dxfId="111" priority="52">
      <formula>I77="✓ Correct"</formula>
    </cfRule>
  </conditionalFormatting>
  <conditionalFormatting sqref="I90">
    <cfRule type="expression" dxfId="110" priority="56">
      <formula>I90="À revoir"</formula>
    </cfRule>
    <cfRule type="expression" dxfId="109" priority="55">
      <formula>I90="✓ Correct"</formula>
    </cfRule>
    <cfRule type="expression" dxfId="108" priority="57">
      <formula>I90="À faire"</formula>
    </cfRule>
  </conditionalFormatting>
  <conditionalFormatting sqref="I103">
    <cfRule type="expression" dxfId="107" priority="58">
      <formula>I103="✓ Correct"</formula>
    </cfRule>
    <cfRule type="expression" dxfId="106" priority="60">
      <formula>I103="À faire"</formula>
    </cfRule>
    <cfRule type="expression" dxfId="105" priority="59">
      <formula>I103="À revoir"</formula>
    </cfRule>
  </conditionalFormatting>
  <conditionalFormatting sqref="I121">
    <cfRule type="expression" dxfId="104" priority="63">
      <formula>I121="À faire"</formula>
    </cfRule>
    <cfRule type="expression" dxfId="103" priority="62">
      <formula>I121="À revoir"</formula>
    </cfRule>
    <cfRule type="expression" dxfId="102" priority="61">
      <formula>I121="✓ Correct"</formula>
    </cfRule>
  </conditionalFormatting>
  <conditionalFormatting sqref="I135">
    <cfRule type="expression" dxfId="101" priority="66">
      <formula>I135="À faire"</formula>
    </cfRule>
    <cfRule type="expression" dxfId="100" priority="65">
      <formula>I135="À revoir"</formula>
    </cfRule>
    <cfRule type="expression" dxfId="99" priority="64">
      <formula>I135="✓ Correct"</formula>
    </cfRule>
  </conditionalFormatting>
  <conditionalFormatting sqref="I151">
    <cfRule type="expression" dxfId="98" priority="69">
      <formula>I151="À faire"</formula>
    </cfRule>
    <cfRule type="expression" dxfId="97" priority="68">
      <formula>I151="À revoir"</formula>
    </cfRule>
    <cfRule type="expression" dxfId="96" priority="67">
      <formula>I151="✓ Correct"</formula>
    </cfRule>
  </conditionalFormatting>
  <conditionalFormatting sqref="I164">
    <cfRule type="expression" dxfId="95" priority="72">
      <formula>I164="À faire"</formula>
    </cfRule>
    <cfRule type="expression" dxfId="94" priority="71">
      <formula>I164="À revoir"</formula>
    </cfRule>
    <cfRule type="expression" dxfId="93" priority="70">
      <formula>I164="✓ Correct"</formula>
    </cfRule>
  </conditionalFormatting>
  <conditionalFormatting sqref="I177">
    <cfRule type="expression" dxfId="92" priority="73">
      <formula>I177="✓ Correct"</formula>
    </cfRule>
    <cfRule type="expression" dxfId="91" priority="74">
      <formula>I177="À revoir"</formula>
    </cfRule>
    <cfRule type="expression" dxfId="90" priority="75">
      <formula>I177="À faire"</formula>
    </cfRule>
  </conditionalFormatting>
  <conditionalFormatting sqref="I188">
    <cfRule type="expression" dxfId="89" priority="78">
      <formula>I188="À faire"</formula>
    </cfRule>
    <cfRule type="expression" dxfId="88" priority="77">
      <formula>I188="À revoir"</formula>
    </cfRule>
    <cfRule type="expression" dxfId="87" priority="76">
      <formula>I188="✓ Correct"</formula>
    </cfRule>
  </conditionalFormatting>
  <conditionalFormatting sqref="I203">
    <cfRule type="expression" dxfId="86" priority="79">
      <formula>I203="✓ Correct"</formula>
    </cfRule>
    <cfRule type="expression" dxfId="85" priority="80">
      <formula>I203="À revoir"</formula>
    </cfRule>
    <cfRule type="expression" dxfId="84" priority="81">
      <formula>I203="À faire"</formula>
    </cfRule>
  </conditionalFormatting>
  <conditionalFormatting sqref="I216">
    <cfRule type="expression" dxfId="83" priority="83">
      <formula>I216="À revoir"</formula>
    </cfRule>
    <cfRule type="expression" dxfId="82" priority="82">
      <formula>I216="✓ Correct"</formula>
    </cfRule>
    <cfRule type="expression" dxfId="81" priority="84">
      <formula>I216="À faire"</formula>
    </cfRule>
  </conditionalFormatting>
  <conditionalFormatting sqref="I230">
    <cfRule type="expression" dxfId="80" priority="85">
      <formula>I230="✓ Correct"</formula>
    </cfRule>
    <cfRule type="expression" dxfId="79" priority="87">
      <formula>I230="À faire"</formula>
    </cfRule>
    <cfRule type="expression" dxfId="78" priority="86">
      <formula>I230="À revoir"</formula>
    </cfRule>
  </conditionalFormatting>
  <conditionalFormatting sqref="I242:I244">
    <cfRule type="expression" dxfId="77" priority="90">
      <formula>I242="À faire"</formula>
    </cfRule>
    <cfRule type="expression" dxfId="76" priority="89">
      <formula>I242="À revoir"</formula>
    </cfRule>
    <cfRule type="expression" dxfId="75" priority="88">
      <formula>I242="✓ Correct"</formula>
    </cfRule>
  </conditionalFormatting>
  <conditionalFormatting sqref="I258">
    <cfRule type="expression" dxfId="74" priority="1">
      <formula>I258="✓ Correct"</formula>
    </cfRule>
    <cfRule type="expression" dxfId="73" priority="2">
      <formula>I258="À revoir"</formula>
    </cfRule>
    <cfRule type="expression" dxfId="72" priority="3">
      <formula>I258="À faire"</formula>
    </cfRule>
  </conditionalFormatting>
  <conditionalFormatting sqref="I269">
    <cfRule type="expression" dxfId="71" priority="4">
      <formula>I269="✓ Correct"</formula>
    </cfRule>
    <cfRule type="expression" dxfId="70" priority="5">
      <formula>I269="À revoir"</formula>
    </cfRule>
    <cfRule type="expression" dxfId="69" priority="6">
      <formula>I269="À faire"</formula>
    </cfRule>
  </conditionalFormatting>
  <conditionalFormatting sqref="I282">
    <cfRule type="expression" dxfId="68" priority="8">
      <formula>I282="À revoir"</formula>
    </cfRule>
    <cfRule type="expression" dxfId="67" priority="9">
      <formula>I282="À faire"</formula>
    </cfRule>
    <cfRule type="expression" dxfId="66" priority="7">
      <formula>I282="✓ Correct"</formula>
    </cfRule>
  </conditionalFormatting>
  <conditionalFormatting sqref="I299">
    <cfRule type="expression" dxfId="65" priority="10">
      <formula>I299="✓ Correct"</formula>
    </cfRule>
    <cfRule type="expression" dxfId="64" priority="11">
      <formula>I299="À revoir"</formula>
    </cfRule>
    <cfRule type="expression" dxfId="63" priority="12">
      <formula>I299="À faire"</formula>
    </cfRule>
  </conditionalFormatting>
  <conditionalFormatting sqref="I312">
    <cfRule type="expression" dxfId="62" priority="13">
      <formula>I312="✓ Correct"</formula>
    </cfRule>
    <cfRule type="expression" dxfId="61" priority="14">
      <formula>I312="À revoir"</formula>
    </cfRule>
    <cfRule type="expression" dxfId="60" priority="15">
      <formula>I312="À faire"</formula>
    </cfRule>
  </conditionalFormatting>
  <conditionalFormatting sqref="I326">
    <cfRule type="expression" dxfId="59" priority="17">
      <formula>I326="À revoir"</formula>
    </cfRule>
    <cfRule type="expression" dxfId="58" priority="16">
      <formula>I326="✓ Correct"</formula>
    </cfRule>
    <cfRule type="expression" dxfId="57" priority="18">
      <formula>I326="À faire"</formula>
    </cfRule>
  </conditionalFormatting>
  <conditionalFormatting sqref="I341">
    <cfRule type="expression" dxfId="56" priority="21">
      <formula>I341="À faire"</formula>
    </cfRule>
    <cfRule type="expression" dxfId="55" priority="20">
      <formula>I341="À revoir"</formula>
    </cfRule>
    <cfRule type="expression" dxfId="54" priority="19">
      <formula>I341="✓ Correct"</formula>
    </cfRule>
  </conditionalFormatting>
  <conditionalFormatting sqref="I356">
    <cfRule type="expression" dxfId="53" priority="24">
      <formula>I356="À faire"</formula>
    </cfRule>
    <cfRule type="expression" dxfId="52" priority="23">
      <formula>I356="À revoir"</formula>
    </cfRule>
    <cfRule type="expression" dxfId="51" priority="22">
      <formula>I356="✓ Correct"</formula>
    </cfRule>
  </conditionalFormatting>
  <conditionalFormatting sqref="I367">
    <cfRule type="expression" dxfId="50" priority="27">
      <formula>I367="À faire"</formula>
    </cfRule>
    <cfRule type="expression" dxfId="49" priority="26">
      <formula>I367="À revoir"</formula>
    </cfRule>
    <cfRule type="expression" dxfId="48" priority="25">
      <formula>I367="✓ Correct"</formula>
    </cfRule>
  </conditionalFormatting>
  <conditionalFormatting sqref="I387">
    <cfRule type="expression" dxfId="47" priority="29">
      <formula>I387="À revoir"</formula>
    </cfRule>
    <cfRule type="expression" dxfId="46" priority="30">
      <formula>I387="À faire"</formula>
    </cfRule>
    <cfRule type="expression" dxfId="45" priority="28">
      <formula>I387="✓ Correct"</formula>
    </cfRule>
  </conditionalFormatting>
  <conditionalFormatting sqref="I401">
    <cfRule type="expression" dxfId="44" priority="31">
      <formula>I401="✓ Correct"</formula>
    </cfRule>
    <cfRule type="expression" dxfId="43" priority="32">
      <formula>I401="À revoir"</formula>
    </cfRule>
    <cfRule type="expression" dxfId="42" priority="33">
      <formula>I401="À faire"</formula>
    </cfRule>
  </conditionalFormatting>
  <conditionalFormatting sqref="I416">
    <cfRule type="expression" dxfId="41" priority="34">
      <formula>I416="✓ Correct"</formula>
    </cfRule>
    <cfRule type="expression" dxfId="40" priority="35">
      <formula>I416="À revoir"</formula>
    </cfRule>
    <cfRule type="expression" dxfId="39" priority="36">
      <formula>I416="À faire"</formula>
    </cfRule>
  </conditionalFormatting>
  <conditionalFormatting sqref="I432">
    <cfRule type="expression" dxfId="38" priority="39">
      <formula>I432="À faire"</formula>
    </cfRule>
    <cfRule type="expression" dxfId="37" priority="38">
      <formula>I432="À revoir"</formula>
    </cfRule>
    <cfRule type="expression" dxfId="36" priority="37">
      <formula>I432="✓ Correct"</formula>
    </cfRule>
  </conditionalFormatting>
  <conditionalFormatting sqref="I443">
    <cfRule type="expression" dxfId="35" priority="42">
      <formula>I443="À faire"</formula>
    </cfRule>
    <cfRule type="expression" dxfId="34" priority="41">
      <formula>I443="À revoir"</formula>
    </cfRule>
    <cfRule type="expression" dxfId="33" priority="40">
      <formula>I443="✓ Correct"</formula>
    </cfRule>
  </conditionalFormatting>
  <conditionalFormatting sqref="I454">
    <cfRule type="expression" dxfId="32" priority="43">
      <formula>I454="✓ Correct"</formula>
    </cfRule>
    <cfRule type="expression" dxfId="31" priority="45">
      <formula>I454="À faire"</formula>
    </cfRule>
    <cfRule type="expression" dxfId="30" priority="44">
      <formula>I454="À revoir"</formula>
    </cfRule>
  </conditionalFormatting>
  <hyperlinks>
    <hyperlink ref="I2" location="SOMMAIRE!A1" display="SOMMAIRE"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75"/>
  <sheetViews>
    <sheetView showGridLines="0" workbookViewId="0"/>
  </sheetViews>
  <sheetFormatPr baseColWidth="10" defaultColWidth="9" defaultRowHeight="14.25"/>
  <cols>
    <col min="1" max="1" width="3" customWidth="1"/>
    <col min="2" max="2" width="57" customWidth="1"/>
    <col min="3" max="3" width="62" customWidth="1"/>
    <col min="4" max="4" width="9" customWidth="1"/>
    <col min="5" max="5" width="10.625" customWidth="1"/>
    <col min="6" max="6" width="16.25" customWidth="1"/>
    <col min="7" max="7" width="9" customWidth="1"/>
    <col min="8" max="8" width="12" customWidth="1"/>
    <col min="9" max="10" width="13" customWidth="1"/>
  </cols>
  <sheetData>
    <row r="1" spans="1:10">
      <c r="A1" s="42"/>
      <c r="B1" s="42"/>
      <c r="C1" s="42"/>
      <c r="D1" s="42"/>
      <c r="E1" s="42"/>
      <c r="F1" s="42"/>
      <c r="G1" s="42"/>
      <c r="H1" s="42"/>
      <c r="I1" s="42"/>
      <c r="J1" s="42"/>
    </row>
    <row r="2" spans="1:10" ht="19.5">
      <c r="A2" s="42"/>
      <c r="B2" s="607" t="s">
        <v>580</v>
      </c>
      <c r="C2" s="607"/>
      <c r="D2" s="607"/>
      <c r="E2" s="607"/>
      <c r="F2" s="607"/>
      <c r="G2" s="607"/>
      <c r="H2" s="607"/>
      <c r="I2" s="121" t="s">
        <v>1</v>
      </c>
      <c r="J2" s="42"/>
    </row>
    <row r="3" spans="1:10">
      <c r="A3" s="42"/>
      <c r="B3" s="42"/>
      <c r="C3" s="42"/>
      <c r="D3" s="42"/>
      <c r="E3" s="42"/>
      <c r="F3" s="42"/>
      <c r="G3" s="42"/>
      <c r="H3" s="42"/>
      <c r="I3" s="42"/>
      <c r="J3" s="42"/>
    </row>
    <row r="4" spans="1:10">
      <c r="A4" s="44"/>
      <c r="B4" s="44"/>
      <c r="C4" s="44"/>
      <c r="D4" s="44"/>
      <c r="E4" s="44"/>
      <c r="F4" s="44"/>
      <c r="G4" s="44"/>
      <c r="H4" s="44"/>
      <c r="I4" s="44"/>
      <c r="J4" s="44"/>
    </row>
    <row r="5" spans="1:10">
      <c r="B5" s="272"/>
      <c r="C5" s="272"/>
      <c r="D5" s="272"/>
      <c r="E5" s="272"/>
      <c r="F5" s="272"/>
      <c r="G5" s="272"/>
      <c r="H5" s="272"/>
      <c r="I5" s="272"/>
    </row>
    <row r="6" spans="1:10" ht="15">
      <c r="B6" s="273" t="s">
        <v>897</v>
      </c>
      <c r="C6" s="273" t="s">
        <v>898</v>
      </c>
      <c r="D6" s="272"/>
      <c r="E6" s="272"/>
      <c r="F6" s="272"/>
      <c r="G6" s="272"/>
      <c r="H6" s="272"/>
      <c r="I6" s="272"/>
    </row>
    <row r="7" spans="1:10" ht="33.950000000000003" customHeight="1">
      <c r="B7" s="217" t="s">
        <v>1906</v>
      </c>
      <c r="C7" s="218" t="s">
        <v>1907</v>
      </c>
      <c r="D7" s="272"/>
      <c r="E7" s="272"/>
      <c r="F7" s="272"/>
      <c r="G7" s="272"/>
      <c r="H7" s="272"/>
      <c r="I7" s="272"/>
    </row>
    <row r="8" spans="1:10" ht="33.950000000000003" customHeight="1">
      <c r="B8" s="217" t="s">
        <v>1908</v>
      </c>
      <c r="C8" s="218" t="s">
        <v>1909</v>
      </c>
      <c r="D8" s="272"/>
      <c r="E8" s="272"/>
      <c r="F8" s="272"/>
      <c r="G8" s="272"/>
      <c r="H8" s="272"/>
      <c r="I8" s="272"/>
    </row>
    <row r="9" spans="1:10" ht="33.950000000000003" customHeight="1">
      <c r="B9" s="217" t="s">
        <v>1910</v>
      </c>
      <c r="C9" s="218" t="s">
        <v>1911</v>
      </c>
      <c r="D9" s="272"/>
      <c r="E9" s="272"/>
      <c r="F9" s="272"/>
      <c r="G9" s="272"/>
      <c r="H9" s="272"/>
      <c r="I9" s="272"/>
    </row>
    <row r="10" spans="1:10" ht="33.950000000000003" customHeight="1">
      <c r="B10" s="217" t="s">
        <v>1912</v>
      </c>
      <c r="C10" s="218" t="s">
        <v>1913</v>
      </c>
      <c r="D10" s="272"/>
      <c r="E10" s="272"/>
      <c r="F10" s="272"/>
      <c r="G10" s="272"/>
      <c r="H10" s="272"/>
      <c r="I10" s="272"/>
    </row>
    <row r="11" spans="1:10" ht="33.950000000000003" customHeight="1">
      <c r="B11" s="217" t="s">
        <v>1914</v>
      </c>
      <c r="C11" s="218" t="s">
        <v>1915</v>
      </c>
      <c r="D11" s="272"/>
      <c r="E11" s="272"/>
      <c r="F11" s="272"/>
      <c r="G11" s="272"/>
      <c r="H11" s="272"/>
      <c r="I11" s="272"/>
    </row>
    <row r="12" spans="1:10" ht="33.950000000000003" customHeight="1">
      <c r="B12" s="217" t="s">
        <v>1916</v>
      </c>
      <c r="C12" s="218" t="s">
        <v>1917</v>
      </c>
      <c r="D12" s="272"/>
      <c r="E12" s="272"/>
      <c r="F12" s="272"/>
      <c r="G12" s="272"/>
      <c r="H12" s="272"/>
      <c r="I12" s="272"/>
    </row>
    <row r="13" spans="1:10" ht="33.950000000000003" customHeight="1">
      <c r="B13" s="217" t="s">
        <v>1918</v>
      </c>
      <c r="C13" s="218" t="s">
        <v>1919</v>
      </c>
      <c r="D13" s="272"/>
      <c r="E13" s="272"/>
      <c r="F13" s="272"/>
      <c r="G13" s="272"/>
      <c r="H13" s="272"/>
      <c r="I13" s="272"/>
    </row>
    <row r="14" spans="1:10" ht="33.950000000000003" customHeight="1">
      <c r="B14" s="232" t="s">
        <v>1920</v>
      </c>
      <c r="C14" s="233" t="s">
        <v>1921</v>
      </c>
      <c r="D14" s="272"/>
      <c r="E14" s="272"/>
      <c r="F14" s="272"/>
      <c r="G14" s="272"/>
      <c r="H14" s="272"/>
      <c r="I14" s="272"/>
    </row>
    <row r="15" spans="1:10">
      <c r="B15" s="272"/>
      <c r="C15" s="272"/>
      <c r="D15" s="272"/>
      <c r="E15" s="272"/>
      <c r="F15" s="272"/>
      <c r="G15" s="272"/>
      <c r="H15" s="272"/>
      <c r="I15" s="272"/>
    </row>
    <row r="16" spans="1:10" ht="15">
      <c r="B16" s="570" t="s">
        <v>1922</v>
      </c>
      <c r="C16" s="570"/>
      <c r="D16" s="570"/>
      <c r="E16" s="570"/>
      <c r="F16" s="570"/>
      <c r="G16" s="570"/>
      <c r="H16" s="570"/>
      <c r="I16" s="570"/>
    </row>
    <row r="17" spans="2:9">
      <c r="B17" s="272"/>
      <c r="C17" s="272"/>
      <c r="D17" s="272"/>
      <c r="E17" s="272"/>
      <c r="F17" s="272"/>
      <c r="G17" s="272"/>
      <c r="H17" s="272"/>
      <c r="I17" s="272"/>
    </row>
    <row r="18" spans="2:9" ht="15">
      <c r="B18" s="576" t="s">
        <v>1923</v>
      </c>
      <c r="C18" s="576"/>
      <c r="D18" s="576"/>
      <c r="E18" s="576"/>
      <c r="F18" s="576"/>
      <c r="G18" s="576"/>
      <c r="H18" s="576"/>
      <c r="I18" s="576"/>
    </row>
    <row r="19" spans="2:9">
      <c r="B19" s="272"/>
      <c r="C19" s="272"/>
      <c r="D19" s="272"/>
      <c r="E19" s="272"/>
      <c r="F19" s="272"/>
      <c r="G19" s="272"/>
      <c r="H19" s="272"/>
      <c r="I19" s="272"/>
    </row>
    <row r="20" spans="2:9" ht="30">
      <c r="B20" s="606" t="s">
        <v>1924</v>
      </c>
      <c r="C20" s="606"/>
      <c r="D20" s="606"/>
      <c r="E20" s="606"/>
      <c r="F20" s="606"/>
      <c r="G20" s="606"/>
      <c r="H20" s="274" t="s">
        <v>930</v>
      </c>
      <c r="I20" s="275" t="s">
        <v>902</v>
      </c>
    </row>
    <row r="21" spans="2:9">
      <c r="B21" s="272"/>
      <c r="C21" s="272"/>
      <c r="D21" s="272"/>
      <c r="E21" s="272"/>
      <c r="F21" s="272"/>
      <c r="G21" s="272"/>
      <c r="H21" s="272"/>
      <c r="I21" s="272"/>
    </row>
    <row r="22" spans="2:9" ht="15">
      <c r="B22" s="608" t="s">
        <v>1925</v>
      </c>
      <c r="C22" s="608"/>
      <c r="D22" s="608"/>
      <c r="E22" s="608"/>
      <c r="F22" s="608"/>
      <c r="G22" s="608"/>
      <c r="H22" s="608"/>
      <c r="I22" s="608"/>
    </row>
    <row r="23" spans="2:9">
      <c r="B23" s="272"/>
      <c r="C23" s="272"/>
      <c r="D23" s="272"/>
      <c r="E23" s="272"/>
      <c r="F23" s="272"/>
      <c r="G23" s="272"/>
      <c r="H23" s="272"/>
      <c r="I23" s="272"/>
    </row>
    <row r="24" spans="2:9" ht="20.25" customHeight="1">
      <c r="B24" s="273" t="s">
        <v>1926</v>
      </c>
      <c r="C24" s="273" t="s">
        <v>1927</v>
      </c>
      <c r="D24" s="272"/>
      <c r="E24" s="273" t="s">
        <v>1272</v>
      </c>
      <c r="F24" s="273" t="s">
        <v>1087</v>
      </c>
      <c r="G24" s="273" t="s">
        <v>1097</v>
      </c>
      <c r="H24" s="273" t="s">
        <v>26</v>
      </c>
      <c r="I24" s="272"/>
    </row>
    <row r="25" spans="2:9">
      <c r="B25" s="449" t="s">
        <v>1928</v>
      </c>
      <c r="C25" s="476"/>
      <c r="D25" s="272"/>
      <c r="E25" s="449" t="s">
        <v>1273</v>
      </c>
      <c r="F25" s="450" t="s">
        <v>964</v>
      </c>
      <c r="G25" s="450" t="s">
        <v>1098</v>
      </c>
      <c r="H25" s="451">
        <v>320</v>
      </c>
      <c r="I25" s="272"/>
    </row>
    <row r="26" spans="2:9" s="448" customFormat="1" ht="16.5" customHeight="1">
      <c r="B26" s="452" t="s">
        <v>1929</v>
      </c>
      <c r="C26" s="476"/>
      <c r="D26" s="11"/>
      <c r="E26" s="452" t="s">
        <v>1930</v>
      </c>
      <c r="F26" s="453" t="s">
        <v>1088</v>
      </c>
      <c r="G26" s="453" t="s">
        <v>1099</v>
      </c>
      <c r="H26" s="454">
        <v>1250</v>
      </c>
      <c r="I26" s="11"/>
    </row>
    <row r="27" spans="2:9">
      <c r="B27" s="449" t="s">
        <v>1931</v>
      </c>
      <c r="C27" s="476"/>
      <c r="D27" s="272"/>
      <c r="E27" s="449" t="s">
        <v>1932</v>
      </c>
      <c r="F27" s="450" t="s">
        <v>1089</v>
      </c>
      <c r="G27" s="450" t="s">
        <v>1105</v>
      </c>
      <c r="H27" s="451">
        <v>1800</v>
      </c>
      <c r="I27" s="272"/>
    </row>
    <row r="28" spans="2:9">
      <c r="B28" s="449" t="s">
        <v>1933</v>
      </c>
      <c r="C28" s="476"/>
      <c r="D28" s="272"/>
      <c r="E28" s="449" t="s">
        <v>1934</v>
      </c>
      <c r="F28" s="450" t="s">
        <v>1500</v>
      </c>
      <c r="G28" s="450" t="s">
        <v>1098</v>
      </c>
      <c r="H28" s="451">
        <v>980</v>
      </c>
      <c r="I28" s="272"/>
    </row>
    <row r="29" spans="2:9">
      <c r="B29" s="449" t="s">
        <v>1935</v>
      </c>
      <c r="C29" s="476"/>
      <c r="D29" s="272"/>
      <c r="E29" s="449"/>
      <c r="F29" s="450"/>
      <c r="G29" s="450"/>
      <c r="H29" s="455"/>
      <c r="I29" s="272"/>
    </row>
    <row r="30" spans="2:9">
      <c r="B30" s="449" t="s">
        <v>1936</v>
      </c>
      <c r="C30" s="476"/>
      <c r="D30" s="272"/>
      <c r="E30" s="272"/>
      <c r="F30" s="272"/>
      <c r="G30" s="272"/>
      <c r="H30" s="272"/>
      <c r="I30" s="272"/>
    </row>
    <row r="31" spans="2:9">
      <c r="B31" s="272"/>
      <c r="C31" s="272"/>
      <c r="D31" s="272"/>
      <c r="E31" s="272"/>
      <c r="F31" s="272"/>
      <c r="G31" s="272"/>
      <c r="H31" s="272"/>
      <c r="I31" s="272"/>
    </row>
    <row r="32" spans="2:9" ht="15">
      <c r="B32" s="272"/>
      <c r="C32" s="272"/>
      <c r="D32" s="272"/>
      <c r="E32" s="272"/>
      <c r="F32" s="272"/>
      <c r="G32" s="272"/>
      <c r="H32" s="273" t="s">
        <v>909</v>
      </c>
      <c r="I32" s="276" t="str">
        <f>IF(COUNTA(C25:C30)&lt;6,"À faire",IF(AND(C25="Non",C26="Oui",C27="Non",C28="Oui",C29="Oui",C30="Oui"),"✓ Correct","À revoir"))</f>
        <v>À faire</v>
      </c>
    </row>
    <row r="33" spans="2:9">
      <c r="B33" s="272"/>
      <c r="C33" s="272"/>
      <c r="D33" s="272"/>
      <c r="E33" s="272"/>
      <c r="F33" s="272"/>
      <c r="G33" s="272"/>
      <c r="H33" s="272"/>
      <c r="I33" s="272"/>
    </row>
    <row r="34" spans="2:9">
      <c r="B34" s="272"/>
      <c r="C34" s="272"/>
      <c r="D34" s="272"/>
      <c r="E34" s="272"/>
      <c r="F34" s="272"/>
      <c r="G34" s="272"/>
      <c r="H34" s="272"/>
      <c r="I34" s="272"/>
    </row>
    <row r="35" spans="2:9" ht="30">
      <c r="B35" s="606" t="s">
        <v>1937</v>
      </c>
      <c r="C35" s="606"/>
      <c r="D35" s="606"/>
      <c r="E35" s="606"/>
      <c r="F35" s="606"/>
      <c r="G35" s="606"/>
      <c r="H35" s="274" t="s">
        <v>930</v>
      </c>
      <c r="I35" s="275" t="s">
        <v>902</v>
      </c>
    </row>
    <row r="36" spans="2:9">
      <c r="B36" s="272"/>
      <c r="C36" s="272"/>
      <c r="D36" s="272"/>
      <c r="E36" s="272"/>
      <c r="F36" s="272"/>
      <c r="G36" s="272"/>
      <c r="H36" s="272"/>
      <c r="I36" s="272"/>
    </row>
    <row r="37" spans="2:9" ht="15">
      <c r="B37" s="608" t="s">
        <v>1938</v>
      </c>
      <c r="C37" s="608"/>
      <c r="D37" s="608"/>
      <c r="E37" s="608"/>
      <c r="F37" s="608"/>
      <c r="G37" s="608"/>
      <c r="H37" s="608"/>
      <c r="I37" s="608"/>
    </row>
    <row r="38" spans="2:9">
      <c r="B38" s="272"/>
      <c r="C38" s="272"/>
      <c r="D38" s="272"/>
      <c r="E38" s="272"/>
      <c r="F38" s="272"/>
      <c r="G38" s="272"/>
      <c r="H38" s="272"/>
      <c r="I38" s="272"/>
    </row>
    <row r="39" spans="2:9" ht="15">
      <c r="B39" s="273" t="s">
        <v>26</v>
      </c>
      <c r="C39" s="273" t="s">
        <v>1939</v>
      </c>
      <c r="D39" s="609" t="s">
        <v>953</v>
      </c>
      <c r="E39" s="609"/>
      <c r="F39" s="272"/>
      <c r="G39" s="272"/>
      <c r="H39" s="272"/>
      <c r="I39" s="272"/>
    </row>
    <row r="40" spans="2:9">
      <c r="B40" s="456">
        <v>1200</v>
      </c>
      <c r="C40" s="460" t="s">
        <v>1940</v>
      </c>
      <c r="D40" s="610"/>
      <c r="E40" s="611"/>
      <c r="F40" s="272"/>
      <c r="G40" s="272"/>
      <c r="H40" s="272"/>
      <c r="I40" s="272"/>
    </row>
    <row r="41" spans="2:9">
      <c r="B41" s="456">
        <v>1200</v>
      </c>
      <c r="C41" s="460" t="s">
        <v>1941</v>
      </c>
      <c r="D41" s="610"/>
      <c r="E41" s="611"/>
      <c r="F41" s="272"/>
      <c r="G41" s="272"/>
      <c r="H41" s="272"/>
      <c r="I41" s="272"/>
    </row>
    <row r="42" spans="2:9">
      <c r="B42" s="456">
        <v>900</v>
      </c>
      <c r="C42" s="460" t="s">
        <v>1940</v>
      </c>
      <c r="D42" s="610"/>
      <c r="E42" s="611"/>
      <c r="F42" s="272"/>
      <c r="G42" s="272"/>
      <c r="H42" s="272"/>
      <c r="I42" s="272"/>
    </row>
    <row r="43" spans="2:9">
      <c r="B43" s="449"/>
      <c r="C43" s="450"/>
      <c r="D43" s="610"/>
      <c r="E43" s="611"/>
      <c r="F43" s="272"/>
      <c r="G43" s="272"/>
      <c r="H43" s="272"/>
      <c r="I43" s="272"/>
    </row>
    <row r="44" spans="2:9">
      <c r="B44" s="272"/>
      <c r="C44" s="272"/>
      <c r="D44" s="272"/>
      <c r="E44" s="272"/>
      <c r="F44" s="272"/>
      <c r="G44" s="272"/>
      <c r="H44" s="272"/>
      <c r="I44" s="272"/>
    </row>
    <row r="45" spans="2:9" ht="15">
      <c r="B45" s="272"/>
      <c r="C45" s="272"/>
      <c r="D45" s="272"/>
      <c r="E45" s="272"/>
      <c r="F45" s="272"/>
      <c r="G45" s="272"/>
      <c r="H45" s="273" t="s">
        <v>909</v>
      </c>
      <c r="I45" s="276" t="str">
        <f>IF(COUNTA(D40:D43)&lt;4,"À faire",IF(AND(D40="Priorité",D41="Standard",D42="Standard",D43="(vide)"),"✓ Correct","À revoir"))</f>
        <v>À faire</v>
      </c>
    </row>
    <row r="46" spans="2:9">
      <c r="B46" s="272"/>
      <c r="C46" s="272"/>
      <c r="D46" s="272"/>
      <c r="E46" s="272"/>
      <c r="F46" s="272"/>
      <c r="G46" s="272"/>
      <c r="H46" s="272"/>
      <c r="I46" s="272"/>
    </row>
    <row r="47" spans="2:9">
      <c r="B47" s="272"/>
      <c r="C47" s="272"/>
      <c r="D47" s="272"/>
      <c r="E47" s="272"/>
      <c r="F47" s="272"/>
      <c r="G47" s="272"/>
      <c r="H47" s="272"/>
      <c r="I47" s="272"/>
    </row>
    <row r="48" spans="2:9" ht="15">
      <c r="B48" s="576" t="s">
        <v>1942</v>
      </c>
      <c r="C48" s="576"/>
      <c r="D48" s="576"/>
      <c r="E48" s="576"/>
      <c r="F48" s="576"/>
      <c r="G48" s="576"/>
      <c r="H48" s="576"/>
      <c r="I48" s="576"/>
    </row>
    <row r="49" spans="2:9">
      <c r="B49" s="272"/>
      <c r="C49" s="272"/>
      <c r="D49" s="272"/>
      <c r="E49" s="272"/>
      <c r="F49" s="272"/>
      <c r="G49" s="272"/>
      <c r="H49" s="272"/>
      <c r="I49" s="272"/>
    </row>
    <row r="50" spans="2:9" ht="30">
      <c r="B50" s="606" t="s">
        <v>1943</v>
      </c>
      <c r="C50" s="606"/>
      <c r="D50" s="606"/>
      <c r="E50" s="606"/>
      <c r="F50" s="606"/>
      <c r="G50" s="606"/>
      <c r="H50" s="274" t="s">
        <v>930</v>
      </c>
      <c r="I50" s="275" t="s">
        <v>902</v>
      </c>
    </row>
    <row r="51" spans="2:9">
      <c r="B51" s="272"/>
      <c r="C51" s="272"/>
      <c r="D51" s="272"/>
      <c r="E51" s="272"/>
      <c r="F51" s="272"/>
      <c r="G51" s="272"/>
      <c r="H51" s="272"/>
      <c r="I51" s="272"/>
    </row>
    <row r="52" spans="2:9" ht="15">
      <c r="B52" s="608" t="s">
        <v>1944</v>
      </c>
      <c r="C52" s="608"/>
      <c r="D52" s="608"/>
      <c r="E52" s="608"/>
      <c r="F52" s="608"/>
      <c r="G52" s="608"/>
      <c r="H52" s="608"/>
      <c r="I52" s="608"/>
    </row>
    <row r="53" spans="2:9">
      <c r="B53" s="272"/>
      <c r="C53" s="272"/>
      <c r="D53" s="272"/>
      <c r="E53" s="272"/>
      <c r="F53" s="272"/>
      <c r="G53" s="272"/>
      <c r="H53" s="272"/>
      <c r="I53" s="272"/>
    </row>
    <row r="54" spans="2:9" ht="15">
      <c r="B54" s="273" t="s">
        <v>1035</v>
      </c>
      <c r="C54" s="273" t="s">
        <v>1945</v>
      </c>
      <c r="D54" s="272"/>
      <c r="E54" s="272"/>
      <c r="F54" s="272"/>
      <c r="G54" s="272"/>
      <c r="H54" s="272"/>
      <c r="I54" s="272"/>
    </row>
    <row r="55" spans="2:9" ht="28.5">
      <c r="B55" s="449" t="s">
        <v>1946</v>
      </c>
      <c r="C55" s="476"/>
      <c r="D55" s="272"/>
      <c r="E55" s="272"/>
      <c r="F55" s="272"/>
      <c r="G55" s="272"/>
      <c r="H55" s="272"/>
      <c r="I55" s="272"/>
    </row>
    <row r="56" spans="2:9">
      <c r="B56" s="449" t="s">
        <v>1947</v>
      </c>
      <c r="C56" s="476"/>
      <c r="D56" s="272"/>
      <c r="E56" s="272"/>
      <c r="F56" s="272"/>
      <c r="G56" s="272"/>
      <c r="H56" s="272"/>
      <c r="I56" s="272"/>
    </row>
    <row r="57" spans="2:9">
      <c r="B57" s="449" t="s">
        <v>1948</v>
      </c>
      <c r="C57" s="476"/>
      <c r="D57" s="272"/>
      <c r="E57" s="272"/>
      <c r="F57" s="272"/>
      <c r="G57" s="272"/>
      <c r="H57" s="272"/>
      <c r="I57" s="272"/>
    </row>
    <row r="58" spans="2:9">
      <c r="B58" s="449" t="s">
        <v>1949</v>
      </c>
      <c r="C58" s="476"/>
      <c r="D58" s="272"/>
      <c r="E58" s="272"/>
      <c r="F58" s="272"/>
      <c r="G58" s="272"/>
      <c r="H58" s="272"/>
      <c r="I58" s="272"/>
    </row>
    <row r="59" spans="2:9">
      <c r="B59" s="449" t="s">
        <v>1950</v>
      </c>
      <c r="C59" s="476"/>
      <c r="D59" s="272"/>
      <c r="E59" s="272"/>
      <c r="F59" s="272"/>
      <c r="G59" s="272"/>
      <c r="H59" s="272"/>
      <c r="I59" s="272"/>
    </row>
    <row r="60" spans="2:9">
      <c r="B60" s="272"/>
      <c r="C60" s="272"/>
      <c r="D60" s="272"/>
      <c r="E60" s="272"/>
      <c r="F60" s="272"/>
      <c r="G60" s="272"/>
      <c r="H60" s="272"/>
      <c r="I60" s="272"/>
    </row>
    <row r="61" spans="2:9" ht="15">
      <c r="B61" s="272"/>
      <c r="C61" s="272"/>
      <c r="D61" s="272"/>
      <c r="E61" s="272"/>
      <c r="F61" s="272"/>
      <c r="G61" s="272"/>
      <c r="H61" s="273" t="s">
        <v>909</v>
      </c>
      <c r="I61" s="276" t="str">
        <f>IF(COUNTA(C55:C59)&lt;5,"À faire",IF(AND(C55="Power Query",C56="Mise en forme conditionnelle",C57="Formule",C58="Tableau croisé dynamique",C59="Filtre"),"✓ Correct","À revoir"))</f>
        <v>À faire</v>
      </c>
    </row>
    <row r="62" spans="2:9">
      <c r="B62" s="272"/>
      <c r="C62" s="272"/>
      <c r="D62" s="272"/>
      <c r="E62" s="272"/>
      <c r="F62" s="272"/>
      <c r="G62" s="272"/>
      <c r="H62" s="272"/>
      <c r="I62" s="272"/>
    </row>
    <row r="63" spans="2:9">
      <c r="B63" s="272"/>
      <c r="C63" s="272"/>
      <c r="D63" s="272"/>
      <c r="E63" s="272"/>
      <c r="F63" s="272"/>
      <c r="G63" s="272"/>
      <c r="H63" s="272"/>
      <c r="I63" s="272"/>
    </row>
    <row r="64" spans="2:9" ht="30">
      <c r="B64" s="606" t="s">
        <v>1951</v>
      </c>
      <c r="C64" s="606"/>
      <c r="D64" s="606"/>
      <c r="E64" s="606"/>
      <c r="F64" s="606"/>
      <c r="G64" s="606"/>
      <c r="H64" s="274" t="s">
        <v>930</v>
      </c>
      <c r="I64" s="275" t="s">
        <v>902</v>
      </c>
    </row>
    <row r="65" spans="2:9">
      <c r="B65" s="272"/>
      <c r="C65" s="272"/>
      <c r="D65" s="272"/>
      <c r="E65" s="272"/>
      <c r="F65" s="272"/>
      <c r="G65" s="272"/>
      <c r="H65" s="272"/>
      <c r="I65" s="272"/>
    </row>
    <row r="66" spans="2:9" ht="15">
      <c r="B66" s="608" t="s">
        <v>1952</v>
      </c>
      <c r="C66" s="608"/>
      <c r="D66" s="608"/>
      <c r="E66" s="608"/>
      <c r="F66" s="608"/>
      <c r="G66" s="608"/>
      <c r="H66" s="608"/>
      <c r="I66" s="608"/>
    </row>
    <row r="67" spans="2:9">
      <c r="B67" s="272"/>
      <c r="C67" s="272"/>
      <c r="D67" s="272"/>
      <c r="E67" s="272"/>
      <c r="F67" s="272"/>
      <c r="G67" s="272"/>
      <c r="H67" s="272"/>
      <c r="I67" s="272"/>
    </row>
    <row r="68" spans="2:9" ht="15">
      <c r="B68" s="273" t="s">
        <v>1953</v>
      </c>
      <c r="C68" s="273" t="s">
        <v>1954</v>
      </c>
      <c r="D68" s="272"/>
      <c r="E68" s="272"/>
      <c r="F68" s="272"/>
      <c r="G68" s="272"/>
      <c r="H68" s="272"/>
      <c r="I68" s="272"/>
    </row>
    <row r="69" spans="2:9" ht="15">
      <c r="B69" s="456">
        <v>1</v>
      </c>
      <c r="C69" s="465" t="s">
        <v>1955</v>
      </c>
      <c r="D69" s="272"/>
      <c r="E69" s="272"/>
      <c r="F69" s="272"/>
      <c r="G69" s="272"/>
      <c r="H69" s="473" t="s">
        <v>1871</v>
      </c>
      <c r="I69" s="466">
        <v>500</v>
      </c>
    </row>
    <row r="70" spans="2:9" ht="15">
      <c r="B70" s="456">
        <v>2</v>
      </c>
      <c r="C70" s="465" t="s">
        <v>1956</v>
      </c>
      <c r="D70" s="272"/>
      <c r="E70" s="272"/>
      <c r="F70" s="272"/>
      <c r="G70" s="272"/>
      <c r="H70" s="474" t="s">
        <v>1740</v>
      </c>
      <c r="I70" s="467">
        <v>0.2</v>
      </c>
    </row>
    <row r="71" spans="2:9">
      <c r="B71" s="456">
        <v>3</v>
      </c>
      <c r="C71" s="465" t="s">
        <v>1957</v>
      </c>
      <c r="D71" s="272"/>
      <c r="E71" s="272"/>
      <c r="F71" s="272"/>
      <c r="G71" s="272"/>
      <c r="H71" s="272"/>
      <c r="I71" s="272"/>
    </row>
    <row r="72" spans="2:9">
      <c r="B72" s="272"/>
      <c r="C72" s="272"/>
      <c r="D72" s="272"/>
      <c r="E72" s="272"/>
      <c r="F72" s="272"/>
      <c r="G72" s="272"/>
      <c r="H72" s="272"/>
      <c r="I72" s="272"/>
    </row>
    <row r="73" spans="2:9" ht="15">
      <c r="B73" s="461" t="s">
        <v>1958</v>
      </c>
      <c r="C73" s="476"/>
      <c r="D73" s="272"/>
      <c r="E73" s="272"/>
      <c r="F73" s="272"/>
      <c r="G73" s="272"/>
      <c r="H73" s="272"/>
      <c r="I73" s="272"/>
    </row>
    <row r="74" spans="2:9">
      <c r="B74" s="272"/>
      <c r="C74" s="272"/>
      <c r="D74" s="272"/>
      <c r="E74" s="272"/>
      <c r="F74" s="272"/>
      <c r="G74" s="272"/>
      <c r="H74" s="272"/>
      <c r="I74" s="272"/>
    </row>
    <row r="75" spans="2:9" ht="15">
      <c r="B75" s="272"/>
      <c r="C75" s="272"/>
      <c r="D75" s="272"/>
      <c r="E75" s="272"/>
      <c r="F75" s="272"/>
      <c r="G75" s="272"/>
      <c r="H75" s="273" t="s">
        <v>909</v>
      </c>
      <c r="I75" s="276" t="str">
        <f>IF(C73="","À faire",IF(C73=2,"✓ Correct","À revoir"))</f>
        <v>À faire</v>
      </c>
    </row>
    <row r="76" spans="2:9">
      <c r="B76" s="272"/>
      <c r="C76" s="272"/>
      <c r="D76" s="272"/>
      <c r="E76" s="272"/>
      <c r="F76" s="272"/>
      <c r="G76" s="272"/>
      <c r="H76" s="272"/>
      <c r="I76" s="272"/>
    </row>
    <row r="77" spans="2:9">
      <c r="B77" s="272"/>
      <c r="C77" s="272"/>
      <c r="D77" s="272"/>
      <c r="E77" s="272"/>
      <c r="F77" s="272"/>
      <c r="G77" s="272"/>
      <c r="H77" s="272"/>
      <c r="I77" s="272"/>
    </row>
    <row r="78" spans="2:9" ht="15">
      <c r="B78" s="576" t="s">
        <v>1959</v>
      </c>
      <c r="C78" s="576"/>
      <c r="D78" s="576"/>
      <c r="E78" s="576"/>
      <c r="F78" s="576"/>
      <c r="G78" s="576"/>
      <c r="H78" s="576"/>
      <c r="I78" s="576"/>
    </row>
    <row r="79" spans="2:9">
      <c r="B79" s="272"/>
      <c r="C79" s="272"/>
      <c r="D79" s="272"/>
      <c r="E79" s="272"/>
      <c r="F79" s="272"/>
      <c r="G79" s="272"/>
      <c r="H79" s="272"/>
      <c r="I79" s="272"/>
    </row>
    <row r="80" spans="2:9" ht="30">
      <c r="B80" s="606" t="s">
        <v>1960</v>
      </c>
      <c r="C80" s="606"/>
      <c r="D80" s="606"/>
      <c r="E80" s="606"/>
      <c r="F80" s="606"/>
      <c r="G80" s="606"/>
      <c r="H80" s="274" t="s">
        <v>930</v>
      </c>
      <c r="I80" s="275" t="s">
        <v>902</v>
      </c>
    </row>
    <row r="81" spans="2:9">
      <c r="B81" s="272"/>
      <c r="C81" s="272"/>
      <c r="D81" s="272"/>
      <c r="E81" s="272"/>
      <c r="F81" s="272"/>
      <c r="G81" s="272"/>
      <c r="H81" s="272"/>
      <c r="I81" s="272"/>
    </row>
    <row r="82" spans="2:9" ht="15">
      <c r="B82" s="608" t="s">
        <v>1961</v>
      </c>
      <c r="C82" s="608"/>
      <c r="D82" s="608"/>
      <c r="E82" s="608"/>
      <c r="F82" s="608"/>
      <c r="G82" s="608"/>
      <c r="H82" s="608"/>
      <c r="I82" s="608"/>
    </row>
    <row r="83" spans="2:9">
      <c r="B83" s="272"/>
      <c r="C83" s="272"/>
      <c r="D83" s="272"/>
      <c r="E83" s="272"/>
      <c r="F83" s="272"/>
      <c r="G83" s="272"/>
      <c r="H83" s="272"/>
      <c r="I83" s="272"/>
    </row>
    <row r="84" spans="2:9" ht="15">
      <c r="B84" s="273" t="s">
        <v>1962</v>
      </c>
      <c r="C84" s="273" t="s">
        <v>1963</v>
      </c>
      <c r="D84" s="272"/>
      <c r="E84" s="272"/>
      <c r="F84" s="272"/>
      <c r="G84" s="272"/>
      <c r="H84" s="272"/>
      <c r="I84" s="272"/>
    </row>
    <row r="85" spans="2:9">
      <c r="B85" s="449" t="s">
        <v>1964</v>
      </c>
      <c r="C85" s="476"/>
      <c r="D85" s="272"/>
      <c r="E85" s="272"/>
      <c r="F85" s="272"/>
      <c r="G85" s="272"/>
      <c r="H85" s="272"/>
      <c r="I85" s="272"/>
    </row>
    <row r="86" spans="2:9">
      <c r="B86" s="449" t="s">
        <v>1965</v>
      </c>
      <c r="C86" s="476"/>
      <c r="D86" s="272"/>
      <c r="E86" s="272"/>
      <c r="F86" s="272"/>
      <c r="G86" s="272"/>
      <c r="H86" s="272"/>
      <c r="I86" s="272"/>
    </row>
    <row r="87" spans="2:9">
      <c r="B87" s="449" t="s">
        <v>1966</v>
      </c>
      <c r="C87" s="476"/>
      <c r="D87" s="272"/>
      <c r="E87" s="272"/>
      <c r="F87" s="272"/>
      <c r="G87" s="272"/>
      <c r="H87" s="272"/>
      <c r="I87" s="272"/>
    </row>
    <row r="88" spans="2:9">
      <c r="B88" s="449" t="s">
        <v>1967</v>
      </c>
      <c r="C88" s="476"/>
      <c r="D88" s="272"/>
      <c r="E88" s="272"/>
      <c r="F88" s="272"/>
      <c r="G88" s="272"/>
      <c r="H88" s="272"/>
      <c r="I88" s="272"/>
    </row>
    <row r="89" spans="2:9">
      <c r="B89" s="272"/>
      <c r="C89" s="272"/>
      <c r="D89" s="272"/>
      <c r="E89" s="272"/>
      <c r="F89" s="272"/>
      <c r="G89" s="272"/>
      <c r="H89" s="272"/>
      <c r="I89" s="272"/>
    </row>
    <row r="90" spans="2:9" ht="15">
      <c r="B90" s="272"/>
      <c r="C90" s="272"/>
      <c r="D90" s="272"/>
      <c r="E90" s="272"/>
      <c r="F90" s="272"/>
      <c r="G90" s="272"/>
      <c r="H90" s="273" t="s">
        <v>909</v>
      </c>
      <c r="I90" s="276" t="str">
        <f>IF(COUNTA(C85:C88)&lt;4,"À faire",IF(AND(C85=4,C86=1,C87=3,C88=2),"✓ Correct","À revoir"))</f>
        <v>À faire</v>
      </c>
    </row>
    <row r="91" spans="2:9">
      <c r="B91" s="272"/>
      <c r="C91" s="272"/>
      <c r="D91" s="272"/>
      <c r="E91" s="272"/>
      <c r="F91" s="272"/>
      <c r="G91" s="272"/>
      <c r="H91" s="272"/>
      <c r="I91" s="272"/>
    </row>
    <row r="92" spans="2:9">
      <c r="B92" s="272"/>
      <c r="C92" s="272"/>
      <c r="D92" s="272"/>
      <c r="E92" s="272"/>
      <c r="F92" s="272"/>
      <c r="G92" s="272"/>
      <c r="H92" s="272"/>
      <c r="I92" s="272"/>
    </row>
    <row r="93" spans="2:9" ht="15">
      <c r="B93" s="576" t="s">
        <v>1968</v>
      </c>
      <c r="C93" s="576"/>
      <c r="D93" s="576"/>
      <c r="E93" s="576"/>
      <c r="F93" s="576"/>
      <c r="G93" s="576"/>
      <c r="H93" s="576"/>
      <c r="I93" s="576"/>
    </row>
    <row r="94" spans="2:9">
      <c r="B94" s="272"/>
      <c r="C94" s="272"/>
      <c r="D94" s="272"/>
      <c r="E94" s="272"/>
      <c r="F94" s="272"/>
      <c r="G94" s="272"/>
      <c r="H94" s="272"/>
      <c r="I94" s="272"/>
    </row>
    <row r="95" spans="2:9" ht="30">
      <c r="B95" s="606" t="s">
        <v>1969</v>
      </c>
      <c r="C95" s="606"/>
      <c r="D95" s="606"/>
      <c r="E95" s="606"/>
      <c r="F95" s="606"/>
      <c r="G95" s="606"/>
      <c r="H95" s="274" t="s">
        <v>930</v>
      </c>
      <c r="I95" s="275" t="s">
        <v>902</v>
      </c>
    </row>
    <row r="96" spans="2:9">
      <c r="B96" s="272"/>
      <c r="C96" s="272"/>
      <c r="D96" s="272"/>
      <c r="E96" s="272"/>
      <c r="F96" s="272"/>
      <c r="G96" s="272"/>
      <c r="H96" s="272"/>
      <c r="I96" s="272"/>
    </row>
    <row r="97" spans="2:9" ht="15">
      <c r="B97" s="608" t="s">
        <v>1970</v>
      </c>
      <c r="C97" s="608"/>
      <c r="D97" s="608"/>
      <c r="E97" s="608"/>
      <c r="F97" s="608"/>
      <c r="G97" s="608"/>
      <c r="H97" s="608"/>
      <c r="I97" s="608"/>
    </row>
    <row r="98" spans="2:9">
      <c r="B98" s="272"/>
      <c r="C98" s="272"/>
      <c r="D98" s="272"/>
      <c r="E98" s="272"/>
      <c r="F98" s="272"/>
      <c r="G98" s="272"/>
      <c r="H98" s="272"/>
      <c r="I98" s="272"/>
    </row>
    <row r="99" spans="2:9" ht="15">
      <c r="B99" s="273" t="s">
        <v>1971</v>
      </c>
      <c r="C99" s="273" t="s">
        <v>1972</v>
      </c>
      <c r="D99" s="272"/>
      <c r="E99" s="272"/>
      <c r="F99" s="272"/>
      <c r="G99" s="272"/>
      <c r="H99" s="272"/>
      <c r="I99" s="272"/>
    </row>
    <row r="100" spans="2:9">
      <c r="B100" s="456">
        <v>501</v>
      </c>
      <c r="C100" s="476"/>
      <c r="D100" s="272"/>
      <c r="E100" s="272"/>
      <c r="F100" s="272"/>
      <c r="G100" s="272"/>
      <c r="H100" s="272"/>
      <c r="I100" s="272"/>
    </row>
    <row r="101" spans="2:9">
      <c r="B101" s="456" t="s">
        <v>1973</v>
      </c>
      <c r="C101" s="476"/>
      <c r="D101" s="272"/>
      <c r="E101" s="272"/>
      <c r="F101" s="272"/>
      <c r="G101" s="272"/>
      <c r="H101" s="272"/>
      <c r="I101" s="272"/>
    </row>
    <row r="102" spans="2:9">
      <c r="B102" s="456">
        <v>499</v>
      </c>
      <c r="C102" s="476"/>
      <c r="D102" s="272"/>
      <c r="E102" s="272"/>
      <c r="F102" s="272"/>
      <c r="G102" s="272"/>
      <c r="H102" s="272"/>
      <c r="I102" s="272"/>
    </row>
    <row r="103" spans="2:9">
      <c r="B103" s="456">
        <v>0</v>
      </c>
      <c r="C103" s="476"/>
      <c r="D103" s="272"/>
      <c r="E103" s="272"/>
      <c r="F103" s="272"/>
      <c r="G103" s="272"/>
      <c r="H103" s="272"/>
      <c r="I103" s="272"/>
    </row>
    <row r="104" spans="2:9">
      <c r="B104" s="456">
        <v>750</v>
      </c>
      <c r="C104" s="476"/>
      <c r="D104" s="272"/>
      <c r="E104" s="272"/>
      <c r="F104" s="272"/>
      <c r="G104" s="272"/>
      <c r="H104" s="272"/>
      <c r="I104" s="272"/>
    </row>
    <row r="105" spans="2:9">
      <c r="B105" s="456">
        <v>500</v>
      </c>
      <c r="C105" s="476"/>
      <c r="D105" s="272"/>
      <c r="E105" s="272"/>
      <c r="F105" s="272"/>
      <c r="G105" s="272"/>
      <c r="H105" s="272"/>
      <c r="I105" s="272"/>
    </row>
    <row r="106" spans="2:9">
      <c r="B106" s="272"/>
      <c r="C106" s="272"/>
      <c r="D106" s="272"/>
      <c r="E106" s="272"/>
      <c r="F106" s="272"/>
      <c r="G106" s="272"/>
      <c r="H106" s="272"/>
      <c r="I106" s="272"/>
    </row>
    <row r="107" spans="2:9" ht="15">
      <c r="B107" s="272"/>
      <c r="C107" s="272"/>
      <c r="D107" s="272"/>
      <c r="E107" s="272"/>
      <c r="F107" s="272"/>
      <c r="G107" s="272"/>
      <c r="H107" s="273" t="s">
        <v>909</v>
      </c>
      <c r="I107" s="276" t="str">
        <f>IF(COUNTA(C100:C105)&lt;6,"À faire",IF(AND(C100="Pas indispensable",C101="À tester",C102="À tester",C103="Pas indispensable",C104="À tester",C105="À tester"),"✓ Correct","À revoir"))</f>
        <v>À faire</v>
      </c>
    </row>
    <row r="108" spans="2:9">
      <c r="B108" s="272"/>
      <c r="C108" s="272"/>
      <c r="D108" s="272"/>
      <c r="E108" s="272"/>
      <c r="F108" s="272"/>
      <c r="G108" s="272"/>
      <c r="H108" s="272"/>
      <c r="I108" s="272"/>
    </row>
    <row r="109" spans="2:9">
      <c r="B109" s="272"/>
      <c r="C109" s="272"/>
      <c r="D109" s="272"/>
      <c r="E109" s="272"/>
      <c r="F109" s="272"/>
      <c r="G109" s="272"/>
      <c r="H109" s="272"/>
      <c r="I109" s="272"/>
    </row>
    <row r="110" spans="2:9" ht="15">
      <c r="B110" s="576" t="s">
        <v>1974</v>
      </c>
      <c r="C110" s="576"/>
      <c r="D110" s="576"/>
      <c r="E110" s="576"/>
      <c r="F110" s="576"/>
      <c r="G110" s="576"/>
      <c r="H110" s="576"/>
      <c r="I110" s="576"/>
    </row>
    <row r="111" spans="2:9">
      <c r="B111" s="272"/>
      <c r="C111" s="272"/>
      <c r="D111" s="272"/>
      <c r="E111" s="272"/>
      <c r="F111" s="272"/>
      <c r="G111" s="272"/>
      <c r="H111" s="272"/>
      <c r="I111" s="272"/>
    </row>
    <row r="112" spans="2:9" ht="30">
      <c r="B112" s="606" t="s">
        <v>1975</v>
      </c>
      <c r="C112" s="606"/>
      <c r="D112" s="606"/>
      <c r="E112" s="606"/>
      <c r="F112" s="606"/>
      <c r="G112" s="606"/>
      <c r="H112" s="274" t="s">
        <v>930</v>
      </c>
      <c r="I112" s="275" t="s">
        <v>902</v>
      </c>
    </row>
    <row r="113" spans="1:9">
      <c r="B113" s="272"/>
      <c r="C113" s="272"/>
      <c r="D113" s="272"/>
      <c r="E113" s="272"/>
      <c r="F113" s="272"/>
      <c r="G113" s="272"/>
      <c r="H113" s="272"/>
      <c r="I113" s="272"/>
    </row>
    <row r="114" spans="1:9" ht="15">
      <c r="B114" s="608" t="s">
        <v>1976</v>
      </c>
      <c r="C114" s="608"/>
      <c r="D114" s="608"/>
      <c r="E114" s="608"/>
      <c r="F114" s="608"/>
      <c r="G114" s="608"/>
      <c r="H114" s="608"/>
      <c r="I114" s="608"/>
    </row>
    <row r="115" spans="1:9">
      <c r="B115" s="272"/>
      <c r="C115" s="272"/>
      <c r="D115" s="272"/>
      <c r="E115" s="272"/>
      <c r="F115" s="272"/>
      <c r="G115" s="272"/>
      <c r="H115" s="272"/>
      <c r="I115" s="272"/>
    </row>
    <row r="116" spans="1:9" ht="15">
      <c r="B116" s="273" t="s">
        <v>1977</v>
      </c>
      <c r="C116" s="273"/>
      <c r="D116" s="273"/>
      <c r="E116" s="272"/>
      <c r="F116" s="272"/>
      <c r="G116" s="272"/>
      <c r="H116" s="272"/>
      <c r="I116" s="272"/>
    </row>
    <row r="117" spans="1:9">
      <c r="A117" s="304"/>
      <c r="B117" s="612" t="s">
        <v>1978</v>
      </c>
      <c r="C117" s="613"/>
      <c r="D117" s="614"/>
      <c r="E117" s="272"/>
      <c r="F117" s="272"/>
      <c r="G117" s="272"/>
      <c r="H117" s="272"/>
      <c r="I117" s="272"/>
    </row>
    <row r="118" spans="1:9">
      <c r="B118" s="272"/>
      <c r="C118" s="272"/>
      <c r="D118" s="272"/>
      <c r="E118" s="272"/>
      <c r="F118" s="272"/>
      <c r="G118" s="272"/>
      <c r="H118" s="272"/>
      <c r="I118" s="272"/>
    </row>
    <row r="119" spans="1:9" ht="16.5" customHeight="1">
      <c r="B119" s="273" t="s">
        <v>1440</v>
      </c>
      <c r="C119" s="273" t="s">
        <v>1979</v>
      </c>
      <c r="D119" s="272"/>
      <c r="E119" s="273" t="s">
        <v>1440</v>
      </c>
      <c r="F119" s="273" t="s">
        <v>1980</v>
      </c>
      <c r="G119" s="273" t="s">
        <v>1981</v>
      </c>
      <c r="H119" s="272"/>
      <c r="I119" s="272"/>
    </row>
    <row r="120" spans="1:9">
      <c r="B120" s="456" t="s">
        <v>1982</v>
      </c>
      <c r="C120" s="476"/>
      <c r="D120" s="464"/>
      <c r="E120" s="468" t="s">
        <v>1982</v>
      </c>
      <c r="F120" s="469" t="s">
        <v>1983</v>
      </c>
      <c r="G120" s="470" t="s">
        <v>1984</v>
      </c>
      <c r="H120" s="272"/>
      <c r="I120" s="272"/>
    </row>
    <row r="121" spans="1:9">
      <c r="B121" s="456" t="s">
        <v>1985</v>
      </c>
      <c r="C121" s="476"/>
      <c r="D121" s="464"/>
      <c r="E121" s="468" t="s">
        <v>1985</v>
      </c>
      <c r="F121" s="469" t="s">
        <v>1986</v>
      </c>
      <c r="G121" s="470" t="s">
        <v>1987</v>
      </c>
      <c r="H121" s="272"/>
      <c r="I121" s="272"/>
    </row>
    <row r="122" spans="1:9">
      <c r="B122" s="456" t="s">
        <v>1988</v>
      </c>
      <c r="C122" s="476"/>
      <c r="D122" s="464"/>
      <c r="E122" s="468" t="s">
        <v>1988</v>
      </c>
      <c r="F122" s="469" t="s">
        <v>1989</v>
      </c>
      <c r="G122" s="470" t="s">
        <v>1990</v>
      </c>
      <c r="H122" s="272"/>
      <c r="I122" s="272"/>
    </row>
    <row r="123" spans="1:9">
      <c r="B123" s="272"/>
      <c r="C123" s="272"/>
      <c r="D123" s="272"/>
      <c r="E123" s="272"/>
      <c r="F123" s="272"/>
      <c r="G123" s="272"/>
      <c r="H123" s="272"/>
      <c r="I123" s="272"/>
    </row>
    <row r="124" spans="1:9" ht="15">
      <c r="B124" s="272"/>
      <c r="C124" s="272"/>
      <c r="D124" s="272"/>
      <c r="E124" s="272"/>
      <c r="F124" s="272"/>
      <c r="G124" s="272"/>
      <c r="H124" s="273" t="s">
        <v>909</v>
      </c>
      <c r="I124" s="276" t="str">
        <f>IF(COUNTA(C120:C122)&lt;3,"À faire",IF(AND(C120="Relative",C121="Absolue",C122="Absolue"),"✓ Correct","À revoir"))</f>
        <v>À faire</v>
      </c>
    </row>
    <row r="125" spans="1:9">
      <c r="B125" s="272"/>
      <c r="C125" s="272"/>
      <c r="D125" s="272"/>
      <c r="E125" s="272"/>
      <c r="F125" s="272"/>
      <c r="G125" s="272"/>
      <c r="H125" s="272"/>
      <c r="I125" s="272"/>
    </row>
    <row r="126" spans="1:9">
      <c r="B126" s="272"/>
      <c r="C126" s="272"/>
      <c r="D126" s="272"/>
      <c r="E126" s="272"/>
      <c r="F126" s="272"/>
      <c r="G126" s="272"/>
      <c r="H126" s="272"/>
      <c r="I126" s="272"/>
    </row>
    <row r="127" spans="1:9" ht="15">
      <c r="B127" s="576" t="s">
        <v>1991</v>
      </c>
      <c r="C127" s="576"/>
      <c r="D127" s="576"/>
      <c r="E127" s="576"/>
      <c r="F127" s="576"/>
      <c r="G127" s="576"/>
      <c r="H127" s="576"/>
      <c r="I127" s="576"/>
    </row>
    <row r="128" spans="1:9">
      <c r="B128" s="272"/>
      <c r="C128" s="272"/>
      <c r="D128" s="272"/>
      <c r="E128" s="272"/>
      <c r="F128" s="272"/>
      <c r="G128" s="272"/>
      <c r="H128" s="272"/>
      <c r="I128" s="272"/>
    </row>
    <row r="129" spans="1:9" ht="15">
      <c r="B129" s="606" t="s">
        <v>1992</v>
      </c>
      <c r="C129" s="606"/>
      <c r="D129" s="606"/>
      <c r="E129" s="606"/>
      <c r="F129" s="606"/>
      <c r="G129" s="606"/>
      <c r="H129" s="274" t="s">
        <v>947</v>
      </c>
      <c r="I129" s="277" t="s">
        <v>1386</v>
      </c>
    </row>
    <row r="130" spans="1:9">
      <c r="B130" s="272"/>
      <c r="C130" s="272"/>
      <c r="D130" s="272"/>
      <c r="E130" s="272"/>
      <c r="F130" s="272"/>
      <c r="G130" s="272"/>
      <c r="H130" s="272"/>
      <c r="I130" s="272"/>
    </row>
    <row r="131" spans="1:9" ht="15">
      <c r="B131" s="608" t="s">
        <v>1993</v>
      </c>
      <c r="C131" s="608"/>
      <c r="D131" s="608"/>
      <c r="E131" s="608"/>
      <c r="F131" s="608"/>
      <c r="G131" s="608"/>
      <c r="H131" s="608"/>
      <c r="I131" s="608"/>
    </row>
    <row r="132" spans="1:9">
      <c r="B132" s="272"/>
      <c r="C132" s="272"/>
      <c r="D132" s="272"/>
      <c r="E132" s="272"/>
      <c r="F132" s="272"/>
      <c r="G132" s="272"/>
      <c r="H132" s="272"/>
      <c r="I132" s="272"/>
    </row>
    <row r="133" spans="1:9" ht="15">
      <c r="B133" s="273" t="s">
        <v>1225</v>
      </c>
      <c r="C133" s="273" t="s">
        <v>1441</v>
      </c>
      <c r="D133" s="272"/>
      <c r="E133" s="272"/>
      <c r="F133" s="272"/>
      <c r="G133" s="272"/>
      <c r="H133" s="272"/>
      <c r="I133" s="272"/>
    </row>
    <row r="134" spans="1:9" ht="15">
      <c r="B134" s="456" t="s">
        <v>1994</v>
      </c>
      <c r="C134" s="458">
        <v>55</v>
      </c>
      <c r="D134" s="272"/>
      <c r="E134" s="272"/>
      <c r="F134" s="272"/>
      <c r="G134" s="272"/>
      <c r="H134" s="473" t="s">
        <v>1225</v>
      </c>
      <c r="I134" s="471" t="s">
        <v>1995</v>
      </c>
    </row>
    <row r="135" spans="1:9" ht="15">
      <c r="B135" s="456" t="s">
        <v>1996</v>
      </c>
      <c r="C135" s="458">
        <v>90</v>
      </c>
      <c r="D135" s="272"/>
      <c r="E135" s="272"/>
      <c r="F135" s="272"/>
      <c r="G135" s="272"/>
      <c r="H135" s="475" t="s">
        <v>932</v>
      </c>
      <c r="I135" s="471">
        <v>7</v>
      </c>
    </row>
    <row r="136" spans="1:9" ht="15">
      <c r="B136" s="456" t="s">
        <v>1995</v>
      </c>
      <c r="C136" s="458">
        <v>120</v>
      </c>
      <c r="D136" s="272"/>
      <c r="E136" s="272"/>
      <c r="F136" s="272"/>
      <c r="G136" s="272"/>
      <c r="H136" s="475" t="s">
        <v>1118</v>
      </c>
      <c r="I136" s="466">
        <v>500</v>
      </c>
    </row>
    <row r="137" spans="1:9" ht="15">
      <c r="B137" s="272"/>
      <c r="C137" s="272"/>
      <c r="D137" s="272"/>
      <c r="E137" s="272"/>
      <c r="F137" s="272"/>
      <c r="G137" s="272"/>
      <c r="H137" s="474" t="s">
        <v>1347</v>
      </c>
      <c r="I137" s="472">
        <v>0.08</v>
      </c>
    </row>
    <row r="138" spans="1:9">
      <c r="B138" s="272"/>
      <c r="C138" s="272"/>
      <c r="D138" s="272"/>
      <c r="E138" s="272"/>
      <c r="F138" s="272"/>
      <c r="G138" s="272"/>
      <c r="H138" s="272"/>
      <c r="I138" s="272"/>
    </row>
    <row r="139" spans="1:9">
      <c r="A139" s="304"/>
      <c r="B139" s="612" t="s">
        <v>1997</v>
      </c>
      <c r="C139" s="613"/>
      <c r="D139" s="613"/>
      <c r="E139" s="613"/>
      <c r="F139" s="613"/>
      <c r="G139" s="613"/>
      <c r="H139" s="613"/>
      <c r="I139" s="614"/>
    </row>
    <row r="140" spans="1:9">
      <c r="A140" s="304"/>
      <c r="B140" s="612"/>
      <c r="C140" s="613"/>
      <c r="D140" s="613"/>
      <c r="E140" s="613"/>
      <c r="F140" s="613"/>
      <c r="G140" s="613"/>
      <c r="H140" s="613"/>
      <c r="I140" s="614"/>
    </row>
    <row r="141" spans="1:9">
      <c r="B141" s="272"/>
      <c r="C141" s="272"/>
      <c r="D141" s="272"/>
      <c r="E141" s="272"/>
      <c r="F141" s="272"/>
      <c r="G141" s="272"/>
      <c r="H141" s="272"/>
      <c r="I141" s="272"/>
    </row>
    <row r="142" spans="1:9" ht="15">
      <c r="B142" s="462" t="s">
        <v>1998</v>
      </c>
      <c r="C142" s="610"/>
      <c r="D142" s="615"/>
      <c r="E142" s="615"/>
      <c r="F142" s="615"/>
      <c r="G142" s="611"/>
      <c r="H142" s="272"/>
      <c r="I142" s="272"/>
    </row>
    <row r="143" spans="1:9">
      <c r="B143" s="272"/>
      <c r="C143" s="272"/>
      <c r="D143" s="272"/>
      <c r="E143" s="272"/>
      <c r="F143" s="272"/>
      <c r="G143" s="272"/>
      <c r="H143" s="272"/>
      <c r="I143" s="272"/>
    </row>
    <row r="144" spans="1:9" ht="15">
      <c r="B144" s="272"/>
      <c r="C144" s="272"/>
      <c r="D144" s="272"/>
      <c r="E144" s="272"/>
      <c r="F144" s="272"/>
      <c r="G144" s="272"/>
      <c r="H144" s="273" t="s">
        <v>909</v>
      </c>
      <c r="I144" s="276" t="str">
        <f>IF(C142="","À faire",IFERROR(IF(ABS(C142-772.8)&lt;0.001,"✓ Correct","À revoir"),"À revoir"))</f>
        <v>À faire</v>
      </c>
    </row>
    <row r="145" spans="2:9">
      <c r="B145" s="272"/>
      <c r="C145" s="272"/>
      <c r="D145" s="272"/>
      <c r="E145" s="272"/>
      <c r="F145" s="272"/>
      <c r="G145" s="272"/>
      <c r="H145" s="272"/>
      <c r="I145" s="272"/>
    </row>
    <row r="146" spans="2:9">
      <c r="B146" s="272"/>
      <c r="C146" s="272"/>
      <c r="D146" s="272"/>
      <c r="E146" s="272"/>
      <c r="F146" s="272"/>
      <c r="G146" s="272"/>
      <c r="H146" s="272"/>
      <c r="I146" s="272"/>
    </row>
    <row r="147" spans="2:9" ht="15">
      <c r="B147" s="576" t="s">
        <v>1999</v>
      </c>
      <c r="C147" s="576"/>
      <c r="D147" s="576"/>
      <c r="E147" s="576"/>
      <c r="F147" s="576"/>
      <c r="G147" s="576"/>
      <c r="H147" s="576"/>
      <c r="I147" s="576"/>
    </row>
    <row r="148" spans="2:9">
      <c r="B148" s="272"/>
      <c r="C148" s="272"/>
      <c r="D148" s="272"/>
      <c r="E148" s="272"/>
      <c r="F148" s="272"/>
      <c r="G148" s="272"/>
      <c r="H148" s="272"/>
      <c r="I148" s="272"/>
    </row>
    <row r="149" spans="2:9" ht="30">
      <c r="B149" s="606" t="s">
        <v>2000</v>
      </c>
      <c r="C149" s="606"/>
      <c r="D149" s="606"/>
      <c r="E149" s="606"/>
      <c r="F149" s="606"/>
      <c r="G149" s="606"/>
      <c r="H149" s="274" t="s">
        <v>930</v>
      </c>
      <c r="I149" s="275" t="s">
        <v>902</v>
      </c>
    </row>
    <row r="150" spans="2:9">
      <c r="B150" s="272"/>
      <c r="C150" s="272"/>
      <c r="D150" s="272"/>
      <c r="E150" s="272"/>
      <c r="F150" s="272"/>
      <c r="G150" s="272"/>
      <c r="H150" s="272"/>
      <c r="I150" s="272"/>
    </row>
    <row r="151" spans="2:9" ht="15">
      <c r="B151" s="608" t="s">
        <v>2001</v>
      </c>
      <c r="C151" s="608"/>
      <c r="D151" s="608"/>
      <c r="E151" s="608"/>
      <c r="F151" s="608"/>
      <c r="G151" s="608"/>
      <c r="H151" s="608"/>
      <c r="I151" s="608"/>
    </row>
    <row r="152" spans="2:9">
      <c r="B152" s="272"/>
      <c r="C152" s="272"/>
      <c r="D152" s="272"/>
      <c r="E152" s="272"/>
      <c r="F152" s="272"/>
      <c r="G152" s="272"/>
      <c r="H152" s="272"/>
      <c r="I152" s="272"/>
    </row>
    <row r="153" spans="2:9" ht="15">
      <c r="B153" s="273" t="s">
        <v>2002</v>
      </c>
      <c r="C153" s="273" t="s">
        <v>2003</v>
      </c>
      <c r="D153" s="609" t="s">
        <v>1199</v>
      </c>
      <c r="E153" s="609"/>
      <c r="F153" s="609"/>
      <c r="G153" s="272"/>
      <c r="H153" s="272"/>
      <c r="I153" s="272"/>
    </row>
    <row r="154" spans="2:9" ht="28.5">
      <c r="B154" s="459" t="s">
        <v>2004</v>
      </c>
      <c r="C154" s="463" t="s">
        <v>2005</v>
      </c>
      <c r="D154" s="610"/>
      <c r="E154" s="615"/>
      <c r="F154" s="611"/>
      <c r="G154" s="272"/>
      <c r="H154" s="272"/>
      <c r="I154" s="272"/>
    </row>
    <row r="155" spans="2:9" ht="24" customHeight="1">
      <c r="B155" s="459" t="s">
        <v>2006</v>
      </c>
      <c r="C155" s="463" t="s">
        <v>2007</v>
      </c>
      <c r="D155" s="610"/>
      <c r="E155" s="615"/>
      <c r="F155" s="611"/>
      <c r="G155" s="272"/>
      <c r="H155" s="272"/>
      <c r="I155" s="272"/>
    </row>
    <row r="156" spans="2:9" ht="24" customHeight="1">
      <c r="B156" s="459" t="s">
        <v>2008</v>
      </c>
      <c r="C156" s="463" t="s">
        <v>2009</v>
      </c>
      <c r="D156" s="610"/>
      <c r="E156" s="615"/>
      <c r="F156" s="611"/>
      <c r="G156" s="272"/>
      <c r="H156" s="272"/>
      <c r="I156" s="272"/>
    </row>
    <row r="157" spans="2:9" ht="36.75" customHeight="1">
      <c r="B157" s="459" t="s">
        <v>2010</v>
      </c>
      <c r="C157" s="463" t="s">
        <v>2011</v>
      </c>
      <c r="D157" s="610"/>
      <c r="E157" s="615"/>
      <c r="F157" s="611"/>
      <c r="G157" s="272"/>
      <c r="H157" s="272"/>
      <c r="I157" s="272"/>
    </row>
    <row r="158" spans="2:9">
      <c r="B158" s="459" t="s">
        <v>2012</v>
      </c>
      <c r="C158" s="463" t="s">
        <v>2013</v>
      </c>
      <c r="D158" s="610"/>
      <c r="E158" s="615"/>
      <c r="F158" s="611"/>
      <c r="G158" s="272"/>
      <c r="H158" s="272"/>
      <c r="I158" s="272"/>
    </row>
    <row r="159" spans="2:9">
      <c r="B159" s="272"/>
      <c r="C159" s="272"/>
      <c r="D159" s="272"/>
      <c r="E159" s="272"/>
      <c r="F159" s="272"/>
      <c r="G159" s="272"/>
      <c r="H159" s="272"/>
      <c r="I159" s="272"/>
    </row>
    <row r="160" spans="2:9" ht="15">
      <c r="B160" s="272"/>
      <c r="C160" s="272"/>
      <c r="D160" s="272"/>
      <c r="E160" s="272"/>
      <c r="F160" s="272"/>
      <c r="G160" s="272"/>
      <c r="H160" s="273" t="s">
        <v>909</v>
      </c>
      <c r="I160" s="276" t="str">
        <f>IF(COUNTA(D154:D158)&lt;5,"À faire",IF(AND(D154="Envisager un autre outil",D155="Conserver la formule",D156="Envisager un autre outil",D157="Envisager un autre outil",D158="Conserver la formule"),"✓ Correct","À revoir"))</f>
        <v>À faire</v>
      </c>
    </row>
    <row r="161" spans="2:9">
      <c r="B161" s="272"/>
      <c r="C161" s="272"/>
      <c r="D161" s="272"/>
      <c r="E161" s="272"/>
      <c r="F161" s="272"/>
      <c r="G161" s="272"/>
      <c r="H161" s="272"/>
      <c r="I161" s="272"/>
    </row>
    <row r="162" spans="2:9">
      <c r="B162" s="272"/>
      <c r="C162" s="272"/>
      <c r="D162" s="272"/>
      <c r="E162" s="272"/>
      <c r="F162" s="272"/>
      <c r="G162" s="272"/>
      <c r="H162" s="272"/>
      <c r="I162" s="272"/>
    </row>
    <row r="163" spans="2:9" ht="15">
      <c r="B163" s="576" t="s">
        <v>2014</v>
      </c>
      <c r="C163" s="576"/>
      <c r="D163" s="576"/>
      <c r="E163" s="576"/>
      <c r="F163" s="576"/>
      <c r="G163" s="576"/>
      <c r="H163" s="576"/>
      <c r="I163" s="576"/>
    </row>
    <row r="164" spans="2:9">
      <c r="B164" s="272"/>
      <c r="C164" s="272"/>
      <c r="D164" s="272"/>
      <c r="E164" s="272"/>
      <c r="F164" s="272"/>
      <c r="G164" s="272"/>
      <c r="H164" s="272"/>
      <c r="I164" s="272"/>
    </row>
    <row r="165" spans="2:9" ht="30">
      <c r="B165" s="606" t="s">
        <v>2015</v>
      </c>
      <c r="C165" s="606"/>
      <c r="D165" s="606"/>
      <c r="E165" s="606"/>
      <c r="F165" s="606"/>
      <c r="G165" s="606"/>
      <c r="H165" s="274" t="s">
        <v>947</v>
      </c>
      <c r="I165" s="275" t="s">
        <v>902</v>
      </c>
    </row>
    <row r="166" spans="2:9">
      <c r="B166" s="272"/>
      <c r="C166" s="272"/>
      <c r="D166" s="272"/>
      <c r="E166" s="272"/>
      <c r="F166" s="272"/>
      <c r="G166" s="272"/>
      <c r="H166" s="272"/>
      <c r="I166" s="272"/>
    </row>
    <row r="167" spans="2:9" ht="15">
      <c r="B167" s="608" t="s">
        <v>2016</v>
      </c>
      <c r="C167" s="608"/>
      <c r="D167" s="608"/>
      <c r="E167" s="608"/>
      <c r="F167" s="608"/>
      <c r="G167" s="608"/>
      <c r="H167" s="608"/>
      <c r="I167" s="608"/>
    </row>
    <row r="168" spans="2:9">
      <c r="B168" s="272"/>
      <c r="C168" s="272"/>
      <c r="D168" s="272"/>
      <c r="E168" s="272"/>
      <c r="F168" s="272"/>
      <c r="G168" s="272"/>
      <c r="H168" s="272"/>
      <c r="I168" s="272"/>
    </row>
    <row r="169" spans="2:9" ht="15">
      <c r="B169" s="273" t="s">
        <v>2017</v>
      </c>
      <c r="C169" s="273" t="s">
        <v>1441</v>
      </c>
      <c r="D169" s="273" t="s">
        <v>1312</v>
      </c>
      <c r="E169" s="272"/>
      <c r="F169" s="273" t="s">
        <v>2018</v>
      </c>
      <c r="G169" s="273" t="s">
        <v>932</v>
      </c>
      <c r="H169" s="609" t="s">
        <v>906</v>
      </c>
      <c r="I169" s="609"/>
    </row>
    <row r="170" spans="2:9">
      <c r="B170" s="456" t="s">
        <v>1313</v>
      </c>
      <c r="C170" s="460">
        <v>20</v>
      </c>
      <c r="D170" s="457">
        <v>5</v>
      </c>
      <c r="E170" s="272"/>
      <c r="F170" s="449" t="s">
        <v>1313</v>
      </c>
      <c r="G170" s="450">
        <v>5</v>
      </c>
      <c r="H170" s="610"/>
      <c r="I170" s="611"/>
    </row>
    <row r="171" spans="2:9">
      <c r="B171" s="456" t="s">
        <v>1316</v>
      </c>
      <c r="C171" s="460">
        <v>35</v>
      </c>
      <c r="D171" s="457">
        <v>8</v>
      </c>
      <c r="E171" s="272"/>
      <c r="F171" s="449" t="s">
        <v>1316</v>
      </c>
      <c r="G171" s="450">
        <v>10</v>
      </c>
      <c r="H171" s="610"/>
      <c r="I171" s="611"/>
    </row>
    <row r="172" spans="2:9">
      <c r="B172" s="456" t="s">
        <v>1318</v>
      </c>
      <c r="C172" s="460">
        <v>12.5</v>
      </c>
      <c r="D172" s="457">
        <v>3</v>
      </c>
      <c r="E172" s="272"/>
      <c r="F172" s="449" t="s">
        <v>1390</v>
      </c>
      <c r="G172" s="450">
        <v>2</v>
      </c>
      <c r="H172" s="610"/>
      <c r="I172" s="611"/>
    </row>
    <row r="173" spans="2:9">
      <c r="B173" s="272"/>
      <c r="C173" s="272"/>
      <c r="D173" s="272"/>
      <c r="E173" s="272"/>
      <c r="F173" s="449" t="s">
        <v>1318</v>
      </c>
      <c r="G173" s="450">
        <v>2</v>
      </c>
      <c r="H173" s="610"/>
      <c r="I173" s="611"/>
    </row>
    <row r="174" spans="2:9">
      <c r="B174" s="272"/>
      <c r="C174" s="272"/>
      <c r="D174" s="272"/>
      <c r="E174" s="272"/>
      <c r="F174" s="272"/>
      <c r="G174" s="272"/>
      <c r="H174" s="272"/>
      <c r="I174" s="272"/>
    </row>
    <row r="175" spans="2:9" ht="15">
      <c r="B175" s="272"/>
      <c r="C175" s="272"/>
      <c r="D175" s="272"/>
      <c r="E175" s="272"/>
      <c r="F175" s="272"/>
      <c r="G175" s="272"/>
      <c r="H175" s="273" t="s">
        <v>909</v>
      </c>
      <c r="I175" s="276" t="str">
        <f>IF(COUNTA(H170:H173)=0,"À faire",IFERROR(IF(AND(H170=100,H171="Stock insuffisant",H172="Produit absent",ABS(H173-25)&lt;0.001),"✓ Correct","À revoir"),"À revoir"))</f>
        <v>À faire</v>
      </c>
    </row>
  </sheetData>
  <sheetProtection sheet="1" objects="1" scenarios="1" autoFilter="0"/>
  <mergeCells count="49">
    <mergeCell ref="H173:I173"/>
    <mergeCell ref="B165:G165"/>
    <mergeCell ref="B167:I167"/>
    <mergeCell ref="H169:I169"/>
    <mergeCell ref="H170:I170"/>
    <mergeCell ref="H171:I171"/>
    <mergeCell ref="H172:I172"/>
    <mergeCell ref="B163:I163"/>
    <mergeCell ref="B139:I140"/>
    <mergeCell ref="C142:G142"/>
    <mergeCell ref="B147:I147"/>
    <mergeCell ref="B149:G149"/>
    <mergeCell ref="B151:I151"/>
    <mergeCell ref="D153:F153"/>
    <mergeCell ref="D154:F154"/>
    <mergeCell ref="D155:F155"/>
    <mergeCell ref="D156:F156"/>
    <mergeCell ref="D157:F157"/>
    <mergeCell ref="D158:F158"/>
    <mergeCell ref="B131:I131"/>
    <mergeCell ref="B80:G80"/>
    <mergeCell ref="B82:I82"/>
    <mergeCell ref="B93:I93"/>
    <mergeCell ref="B95:G95"/>
    <mergeCell ref="B97:I97"/>
    <mergeCell ref="B110:I110"/>
    <mergeCell ref="B112:G112"/>
    <mergeCell ref="B114:I114"/>
    <mergeCell ref="B117:D117"/>
    <mergeCell ref="B127:I127"/>
    <mergeCell ref="B129:G129"/>
    <mergeCell ref="B78:I78"/>
    <mergeCell ref="B37:I37"/>
    <mergeCell ref="D39:E39"/>
    <mergeCell ref="D40:E40"/>
    <mergeCell ref="D41:E41"/>
    <mergeCell ref="D42:E42"/>
    <mergeCell ref="D43:E43"/>
    <mergeCell ref="B48:I48"/>
    <mergeCell ref="B50:G50"/>
    <mergeCell ref="B52:I52"/>
    <mergeCell ref="B64:G64"/>
    <mergeCell ref="B66:I66"/>
    <mergeCell ref="B35:G35"/>
    <mergeCell ref="B2:H2"/>
    <mergeCell ref="B16:I16"/>
    <mergeCell ref="B18:I18"/>
    <mergeCell ref="B20:G20"/>
    <mergeCell ref="B22:I22"/>
  </mergeCells>
  <conditionalFormatting sqref="I32">
    <cfRule type="expression" dxfId="29" priority="1">
      <formula>I32="✓ Correct"</formula>
    </cfRule>
    <cfRule type="expression" dxfId="28" priority="2">
      <formula>I32="À revoir"</formula>
    </cfRule>
    <cfRule type="expression" dxfId="27" priority="3">
      <formula>I32="À faire"</formula>
    </cfRule>
  </conditionalFormatting>
  <conditionalFormatting sqref="I45">
    <cfRule type="expression" dxfId="26" priority="4">
      <formula>I45="✓ Correct"</formula>
    </cfRule>
    <cfRule type="expression" dxfId="25" priority="5">
      <formula>I45="À revoir"</formula>
    </cfRule>
    <cfRule type="expression" dxfId="24" priority="6">
      <formula>I45="À faire"</formula>
    </cfRule>
  </conditionalFormatting>
  <conditionalFormatting sqref="I61">
    <cfRule type="expression" dxfId="23" priority="7">
      <formula>I61="✓ Correct"</formula>
    </cfRule>
    <cfRule type="expression" dxfId="22" priority="8">
      <formula>I61="À revoir"</formula>
    </cfRule>
    <cfRule type="expression" dxfId="21" priority="9">
      <formula>I61="À faire"</formula>
    </cfRule>
  </conditionalFormatting>
  <conditionalFormatting sqref="I75">
    <cfRule type="expression" dxfId="20" priority="10">
      <formula>I75="✓ Correct"</formula>
    </cfRule>
    <cfRule type="expression" dxfId="19" priority="11">
      <formula>I75="À revoir"</formula>
    </cfRule>
    <cfRule type="expression" dxfId="18" priority="12">
      <formula>I75="À faire"</formula>
    </cfRule>
  </conditionalFormatting>
  <conditionalFormatting sqref="I90">
    <cfRule type="expression" dxfId="17" priority="13">
      <formula>I90="✓ Correct"</formula>
    </cfRule>
    <cfRule type="expression" dxfId="16" priority="14">
      <formula>I90="À revoir"</formula>
    </cfRule>
    <cfRule type="expression" dxfId="15" priority="15">
      <formula>I90="À faire"</formula>
    </cfRule>
  </conditionalFormatting>
  <conditionalFormatting sqref="I107">
    <cfRule type="expression" dxfId="14" priority="16">
      <formula>I107="✓ Correct"</formula>
    </cfRule>
    <cfRule type="expression" dxfId="13" priority="17">
      <formula>I107="À revoir"</formula>
    </cfRule>
    <cfRule type="expression" dxfId="12" priority="18">
      <formula>I107="À faire"</formula>
    </cfRule>
  </conditionalFormatting>
  <conditionalFormatting sqref="I124">
    <cfRule type="expression" dxfId="11" priority="19">
      <formula>I124="✓ Correct"</formula>
    </cfRule>
    <cfRule type="expression" dxfId="10" priority="20">
      <formula>I124="À revoir"</formula>
    </cfRule>
    <cfRule type="expression" dxfId="9" priority="21">
      <formula>I124="À faire"</formula>
    </cfRule>
  </conditionalFormatting>
  <conditionalFormatting sqref="I144">
    <cfRule type="expression" dxfId="8" priority="22">
      <formula>I144="✓ Correct"</formula>
    </cfRule>
    <cfRule type="expression" dxfId="7" priority="23">
      <formula>I144="À revoir"</formula>
    </cfRule>
    <cfRule type="expression" dxfId="6" priority="24">
      <formula>I144="À faire"</formula>
    </cfRule>
  </conditionalFormatting>
  <conditionalFormatting sqref="I160">
    <cfRule type="expression" dxfId="5" priority="25">
      <formula>I160="✓ Correct"</formula>
    </cfRule>
    <cfRule type="expression" dxfId="4" priority="26">
      <formula>I160="À revoir"</formula>
    </cfRule>
    <cfRule type="expression" dxfId="3" priority="27">
      <formula>I160="À faire"</formula>
    </cfRule>
  </conditionalFormatting>
  <conditionalFormatting sqref="I175">
    <cfRule type="expression" dxfId="2" priority="28">
      <formula>I175="✓ Correct"</formula>
    </cfRule>
    <cfRule type="expression" dxfId="1" priority="29">
      <formula>I175="À revoir"</formula>
    </cfRule>
    <cfRule type="expression" dxfId="0" priority="30">
      <formula>I175="À faire"</formula>
    </cfRule>
  </conditionalFormatting>
  <dataValidations count="8">
    <dataValidation type="list" sqref="D154:D158" xr:uid="{00000000-0002-0000-0B00-000000000000}">
      <formula1>"Conserver la formule,Envisager un autre outil"</formula1>
    </dataValidation>
    <dataValidation type="list" sqref="C120:C122" xr:uid="{00000000-0002-0000-0B00-000001000000}">
      <formula1>"Relative,Absolue"</formula1>
    </dataValidation>
    <dataValidation type="list" sqref="C100:C105" xr:uid="{00000000-0002-0000-0B00-000002000000}">
      <formula1>"À tester,Pas indispensable"</formula1>
    </dataValidation>
    <dataValidation type="list" sqref="C85:C88" xr:uid="{00000000-0002-0000-0B00-000003000000}">
      <formula1>"1,2,3,4"</formula1>
    </dataValidation>
    <dataValidation type="list" sqref="C73" xr:uid="{00000000-0002-0000-0B00-000004000000}">
      <formula1>"1,2,3"</formula1>
    </dataValidation>
    <dataValidation type="list" sqref="C55:C59" xr:uid="{00000000-0002-0000-0B00-000005000000}">
      <formula1>"Filtre,Formule,Mise en forme conditionnelle,Power Query,Tableau croisé dynamique"</formula1>
    </dataValidation>
    <dataValidation type="list" sqref="D40:D43" xr:uid="{00000000-0002-0000-0B00-000006000000}">
      <formula1>"Priorité,Standard,(vide)"</formula1>
    </dataValidation>
    <dataValidation type="list" sqref="C25:C30" xr:uid="{00000000-0002-0000-0B00-000007000000}">
      <formula1>"Oui,Non"</formula1>
    </dataValidation>
  </dataValidations>
  <hyperlinks>
    <hyperlink ref="I2" location="SOMMAIRE!A1" display="SOMMAIRE" xr:uid="{00000000-0004-0000-0B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MODE D'EMPLOI</vt:lpstr>
      <vt:lpstr>SOMMAIRE</vt:lpstr>
      <vt:lpstr>Ch.1 - Lire une formule</vt:lpstr>
      <vt:lpstr>Ch.2 - Choisir la fonction</vt:lpstr>
      <vt:lpstr>Ch.3 - Calculer et compter</vt:lpstr>
      <vt:lpstr>Ch.4 - Tester conditions</vt:lpstr>
      <vt:lpstr>Ch.5 - Manipuler le texte</vt:lpstr>
      <vt:lpstr>Ch.6 - Rechercher une info</vt:lpstr>
      <vt:lpstr>Ch.7 - Résultats dynamiques</vt:lpstr>
      <vt:lpstr>Ch.8 - Plusieurs fonctions</vt:lpstr>
      <vt:lpstr>Ch.9 - Dépanner formule</vt:lpstr>
      <vt:lpstr>Ch.10 - Devenir autonome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Yannick Huot</cp:lastModifiedBy>
  <dcterms:modified xsi:type="dcterms:W3CDTF">2026-08-22T10:49:40Z</dcterms:modified>
</cp:coreProperties>
</file>